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500" windowHeight="8940" tabRatio="619" activeTab="0"/>
  </bookViews>
  <sheets>
    <sheet name="Беседка" sheetId="1" r:id="rId1"/>
  </sheets>
  <definedNames>
    <definedName name="_xlnm._FilterDatabase" localSheetId="0" hidden="1">'Беседка'!$B$2:$N$238</definedName>
    <definedName name="всего_по_акту">#REF!</definedName>
    <definedName name="стоимость_материалов">#REF!</definedName>
    <definedName name="стоимость_работ">#REF!</definedName>
    <definedName name="Excel_BuiltIn__FilterDatabase_1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http://mirsetok.com/massa_gvozdey.html</t>
        </r>
      </text>
    </comment>
    <comment ref="E4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http://mirsetok.com/massa_gvozdey.html</t>
        </r>
      </text>
    </comment>
    <comment ref="C76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http://www.aquaizol.ua/praysy/praysy-bitumnaya-cherepitsa</t>
        </r>
      </text>
    </comment>
    <comment ref="C7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http://www.aquaizol.ua/praysy/praysy-bitumnaya-cherepitsa</t>
        </r>
      </text>
    </comment>
    <comment ref="C8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Цвета теже что и у IKO Cambrie Express 3,1 м2 в упаковке</t>
        </r>
      </text>
    </comment>
    <comment ref="C8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Применяем двух видов 9 м.п. по коньку в упаковке:
49 Earthtone Cedar;
53 Dual BrownUltra</t>
        </r>
      </text>
    </comment>
    <comment ref="C116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17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
расход 0,51кг на 1 м3 бетона</t>
        </r>
      </text>
    </comment>
    <comment ref="C118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19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20" authorId="0">
      <text>
        <r>
          <rPr>
            <b/>
            <sz val="9"/>
            <color indexed="8"/>
            <rFont val="Tahoma"/>
            <family val="2"/>
          </rPr>
          <t>http://www.dneprometiz.com.ua/ru/gvozdi_kruglie_provolochnie_s_konicheskoy_potaynoy_riflenoy_golovkoy_po_tu_u_28_7-136-007-2003</t>
        </r>
      </text>
    </comment>
    <comment ref="C12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Гвозди накатные оценкованные для битумной черепицы длинной 25 мм</t>
        </r>
      </text>
    </comment>
    <comment ref="C12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2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http://trotuarnaya-plitka.prom.ua/p1356356-dobavka-dlya-betona.html</t>
        </r>
      </text>
    </comment>
    <comment ref="C13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6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3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6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49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5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Цвета теже что и у IKO Cambrie Express 3,1 м2 в упаковке</t>
        </r>
      </text>
    </comment>
    <comment ref="C18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http://krepezh.com.ua/plastina-perforirovannaya-tip-l.html</t>
        </r>
      </text>
    </comment>
    <comment ref="C18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http://www.aquaizol.ua/praysy/praysy-bitumnaya-cherepitsa</t>
        </r>
      </text>
    </comment>
    <comment ref="C18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http://ukrstroytrans.prom.ua/p3693215-samorez-krovelnyj.html</t>
        </r>
      </text>
    </comment>
    <comment ref="C19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6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19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http://krepezh.com.ua/soedinitelnyiy-ugolok.html</t>
        </r>
      </text>
    </comment>
    <comment ref="C199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8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09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0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1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2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3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4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http://profil.com.ua/katalog</t>
        </r>
      </text>
    </comment>
    <comment ref="C217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http://www.knaufinsulation.ua/ru/content/037a-034a</t>
        </r>
      </text>
    </comment>
    <comment ref="E19" authorId="0">
      <text>
        <r>
          <rPr>
            <b/>
            <sz val="9"/>
            <color indexed="8"/>
            <rFont val="Tahoma"/>
            <family val="2"/>
          </rPr>
          <t xml:space="preserve">vzhir:
</t>
        </r>
        <r>
          <rPr>
            <sz val="9"/>
            <color indexed="8"/>
            <rFont val="Tahoma"/>
            <family val="2"/>
          </rPr>
          <t>Это с беседкой?</t>
        </r>
      </text>
    </comment>
    <comment ref="E45" authorId="0">
      <text>
        <r>
          <rPr>
            <b/>
            <sz val="9"/>
            <color indexed="8"/>
            <rFont val="Tahoma"/>
            <family val="2"/>
          </rPr>
          <t xml:space="preserve">.:
</t>
        </r>
        <r>
          <rPr>
            <sz val="9"/>
            <color indexed="8"/>
            <rFont val="Tahoma"/>
            <family val="2"/>
          </rPr>
          <t>http://mirsetok.com/massa_gvozdey.html</t>
        </r>
      </text>
    </comment>
  </commentList>
</comments>
</file>

<file path=xl/sharedStrings.xml><?xml version="1.0" encoding="utf-8"?>
<sst xmlns="http://schemas.openxmlformats.org/spreadsheetml/2006/main" count="531" uniqueCount="259">
  <si>
    <t>№ п\п</t>
  </si>
  <si>
    <t>Наименование материалов и работ</t>
  </si>
  <si>
    <t>Ед.изм.</t>
  </si>
  <si>
    <t>Объем:</t>
  </si>
  <si>
    <t>Стоимость ед., грн.</t>
  </si>
  <si>
    <t>Итого, грн.</t>
  </si>
  <si>
    <t>Другие ед.изм.</t>
  </si>
  <si>
    <t>Примечания</t>
  </si>
  <si>
    <t>Технологические примечания</t>
  </si>
  <si>
    <t>Вопросы от С.В.В Жиркову</t>
  </si>
  <si>
    <t xml:space="preserve"> </t>
  </si>
  <si>
    <t>м3</t>
  </si>
  <si>
    <t>м.п.</t>
  </si>
  <si>
    <t>шт.</t>
  </si>
  <si>
    <t>кг</t>
  </si>
  <si>
    <t>м.п</t>
  </si>
  <si>
    <t>Итого материалы:</t>
  </si>
  <si>
    <t>Работы:</t>
  </si>
  <si>
    <t>Итого работы:</t>
  </si>
  <si>
    <t>м2</t>
  </si>
  <si>
    <t>шт</t>
  </si>
  <si>
    <t>л</t>
  </si>
  <si>
    <t>Кровля</t>
  </si>
  <si>
    <t>Материалы (основные пиломатериалы)</t>
  </si>
  <si>
    <t>К-во ед.</t>
  </si>
  <si>
    <t>цена за м3</t>
  </si>
  <si>
    <t>сумма за м3</t>
  </si>
  <si>
    <t>м\п</t>
  </si>
  <si>
    <t>м2 поверхности</t>
  </si>
  <si>
    <t>Материалы для устройства кровельного пирога:</t>
  </si>
  <si>
    <t>Площадь кровли</t>
  </si>
  <si>
    <t>см. АР план кровли</t>
  </si>
  <si>
    <t>Длина конька</t>
  </si>
  <si>
    <t>Длина наклонного конька</t>
  </si>
  <si>
    <t>Длина ендовы</t>
  </si>
  <si>
    <t>Длина подшивы</t>
  </si>
  <si>
    <t>Длина фронтона</t>
  </si>
  <si>
    <t>Периметр ВШ</t>
  </si>
  <si>
    <t>м/п</t>
  </si>
  <si>
    <t>Для осуществления вентиляции кровли точечным способом. Один точечный аэратор "СПЕЦ" обслуживает 20-25 м2 кровли (со слов представителей завода Акваизол. Технической документации нет, бригады кровельщиков подтверждают информацию Акваизола.</t>
  </si>
  <si>
    <t xml:space="preserve">второй уровень полностью </t>
  </si>
  <si>
    <t>пачек</t>
  </si>
  <si>
    <t>используется на коньках, ендовах, и карнизах</t>
  </si>
  <si>
    <t>крепление битумной черепицы капельников и франтонной планки</t>
  </si>
  <si>
    <t>каждую кобылку</t>
  </si>
  <si>
    <t>Крепежные материалы:</t>
  </si>
  <si>
    <t>500мм шпильки / м.п. Мауерлата</t>
  </si>
  <si>
    <t>согласно количеству болтов и шпилек</t>
  </si>
  <si>
    <t>Расход 12 шт на 1м2</t>
  </si>
  <si>
    <t>66+14(запас)</t>
  </si>
  <si>
    <t>СВОДНАЯ</t>
  </si>
  <si>
    <t>Анкерная смесь церезит СХ5</t>
  </si>
  <si>
    <t>Арматура Ø 8 гладкая А1</t>
  </si>
  <si>
    <t>Арматура Ø 8 периодического профиля А3</t>
  </si>
  <si>
    <t>Арматура Ø 10 гладкая А1</t>
  </si>
  <si>
    <t>Арматура Ø 10 периодического профиля А3</t>
  </si>
  <si>
    <t>Арматура Ø 12 периодического профиля А3</t>
  </si>
  <si>
    <t>Арматура Ø 14 периодического профиля А3</t>
  </si>
  <si>
    <t>Арматура Ø 16 периодического профиля А3</t>
  </si>
  <si>
    <t>Арматура Ø 18 периодического профиля А3</t>
  </si>
  <si>
    <t>Арматура Ø 20 периодического профиля А3</t>
  </si>
  <si>
    <t>Арматура Ø 22 периодического профиля А3</t>
  </si>
  <si>
    <t>Арматура Ø 25 периодического профиля А3</t>
  </si>
  <si>
    <t>Арматура Ø 28 периодического профиля А3</t>
  </si>
  <si>
    <t>Аэратор конек. Размер: 1220 x 280 x 34</t>
  </si>
  <si>
    <t>Аэратор точечный СПЕЦ. Размер: 420 х 300 х 60</t>
  </si>
  <si>
    <t>Бетон В15 (М200)</t>
  </si>
  <si>
    <t>Бетон В20 (М250)</t>
  </si>
  <si>
    <t>Битумная черепица ТЕХНОНИКОЛЬ</t>
  </si>
  <si>
    <t>Битумная коньково-карнизная черепица ТЕХНОНИЛОЛЬ</t>
  </si>
  <si>
    <t>Брус 50х50х4000</t>
  </si>
  <si>
    <t>Брус 50х100х4000</t>
  </si>
  <si>
    <t>Брус 50х100х4500</t>
  </si>
  <si>
    <t>Брус 50х100х6000</t>
  </si>
  <si>
    <t>Брус 50х150х4000</t>
  </si>
  <si>
    <t>Брус 50х150х4500</t>
  </si>
  <si>
    <t>Брус 50х150х6000</t>
  </si>
  <si>
    <t>Брус 50х200х4000</t>
  </si>
  <si>
    <t>Брус 50х200х4500</t>
  </si>
  <si>
    <t>Брус 50х200х6000</t>
  </si>
  <si>
    <t>Брус 100х100х4000</t>
  </si>
  <si>
    <t>Брус 100х100х4500</t>
  </si>
  <si>
    <t>Брус 100х150х4000</t>
  </si>
  <si>
    <t>Брус 100х150х4500</t>
  </si>
  <si>
    <t>Брус 100х150х6000</t>
  </si>
  <si>
    <t>Брус 100х200х4000</t>
  </si>
  <si>
    <t>Брус 100х200х4500</t>
  </si>
  <si>
    <t>Брус 100х200х6000</t>
  </si>
  <si>
    <t>Брус 150х150х4000</t>
  </si>
  <si>
    <t>Брус 150х150х4500</t>
  </si>
  <si>
    <t>Брус 150х150х6000</t>
  </si>
  <si>
    <t>Брус 150х200х4000</t>
  </si>
  <si>
    <t>Брус 150х200х4500</t>
  </si>
  <si>
    <t>Брус 150х200х6000</t>
  </si>
  <si>
    <t>Брус 200х200х4000</t>
  </si>
  <si>
    <t>Брус 200х200х4500</t>
  </si>
  <si>
    <t>Брус 200х200х6000</t>
  </si>
  <si>
    <t>Брус 200х250х4000</t>
  </si>
  <si>
    <t>Брус 200х250х4500</t>
  </si>
  <si>
    <t>Брус 200х250х6000</t>
  </si>
  <si>
    <t>Гайка М10. Для шпилек.</t>
  </si>
  <si>
    <t>Гайка М12. Для шпилек.</t>
  </si>
  <si>
    <t>Гайка М14. Для шпилек.</t>
  </si>
  <si>
    <t>Гвозди К 3,0X70 ГОСТ 4028—63</t>
  </si>
  <si>
    <t>Гвозди К 4,0X100 ГОСТ 4028—63</t>
  </si>
  <si>
    <t>Гвозди К 5,0X120 ГОСТ 4028—63</t>
  </si>
  <si>
    <t>Гвозди К 5,0X150 ГОСТ 4028—63</t>
  </si>
  <si>
    <t>Гвозди К 6,0X200 ГОСТ 4028—63</t>
  </si>
  <si>
    <t>Грунтовка ГФ - 021 красно-коричневая</t>
  </si>
  <si>
    <t>Держатель желоба пластиковый PROFIL Ø 130/100</t>
  </si>
  <si>
    <t>Держатель трубы металл. L-160 PROFIL Ø 130/100</t>
  </si>
  <si>
    <t>Держатель желоба пластиковый PROFIL Ø 90/75</t>
  </si>
  <si>
    <t>Держатель трубы металл. L-160 PROFIL Ø 90/75</t>
  </si>
  <si>
    <t>Доска 25х100х4000</t>
  </si>
  <si>
    <t>Доска 25х200х4000</t>
  </si>
  <si>
    <t>Евробарьер (75 м2)  Fakro EUROTOP L2 (плотность 90 г/м2)</t>
  </si>
  <si>
    <t>Ендовный ковер</t>
  </si>
  <si>
    <t>Желоб PROFIL 3м, Ø 130/100</t>
  </si>
  <si>
    <t>Желоб PROFIL 3м, Ø 90/75</t>
  </si>
  <si>
    <t>Жидкое мыло</t>
  </si>
  <si>
    <t>кг.</t>
  </si>
  <si>
    <t>Заглушка желоба Р PROFIL Ø 130/100</t>
  </si>
  <si>
    <t>Заглушка желоба L PROFIL Ø 130/100</t>
  </si>
  <si>
    <t>Заглушка желоба Р PROFIL Ø 90/75</t>
  </si>
  <si>
    <t>Заглушка желоба L PROFIL Ø 90/75</t>
  </si>
  <si>
    <t>Карнизная планка (капельник). Металл RUUKKI цвет RR32</t>
  </si>
  <si>
    <t>Кирпич керамический полуторный полнотелый, размеры 250х120х88 мм, марка М125</t>
  </si>
  <si>
    <t>Кирпич керамический одинарный полнотелый, размеры 250х120х65 мм, марка М125</t>
  </si>
  <si>
    <t>Колено 60° PROFIL Ø 130/100</t>
  </si>
  <si>
    <t>Колено 60° PROFIL Ø 90/75</t>
  </si>
  <si>
    <t>Лента К2</t>
  </si>
  <si>
    <t>Ливнеприемник проходной PROFIL Ø 130/100</t>
  </si>
  <si>
    <t>Ливнеприемник L PROFIL Ø 130/100</t>
  </si>
  <si>
    <t>Ливнеприемник P PROFIL Ø 130/100</t>
  </si>
  <si>
    <t>Ливнеприемник проходной PROFIL Ø 90/75</t>
  </si>
  <si>
    <t>Ливнеприемник L PROFIL Ø 90/75</t>
  </si>
  <si>
    <t>Ливнеприемник P PROFIL Ø 90/75</t>
  </si>
  <si>
    <t>Лист металлический толщина 10мм</t>
  </si>
  <si>
    <t>Мастика кровельная ТЕХНОНИКОЛЬ №21</t>
  </si>
  <si>
    <t xml:space="preserve">Металлический лист  RUUKI t=0,5 мм, размеры ширина 1250 мм х длина до 10 м.п. в рулоне цвет RR32, RAL 8017 темно - коричневый </t>
  </si>
  <si>
    <t>Огнебиозащита Страж-2 БС-13 сухая смесь 3 кг.</t>
  </si>
  <si>
    <t>Паробарьер прозрачный 100 Южная Корея (плотность 100 г/м2)  75 м2 в рулоне</t>
  </si>
  <si>
    <t>Пена монтажная SOMAFIKS</t>
  </si>
  <si>
    <t>балл.</t>
  </si>
  <si>
    <t>Перемычка 2ПБ 13-1п</t>
  </si>
  <si>
    <t>Перемычка 2ПБ16-2-п</t>
  </si>
  <si>
    <t>Перемычка 2ПБ 17-2п</t>
  </si>
  <si>
    <t>Перемычка 3ПБ 13-37п</t>
  </si>
  <si>
    <t>Перемычка 3ПБ 16-37п</t>
  </si>
  <si>
    <t>Перемычка 3ПБ 18-8п</t>
  </si>
  <si>
    <t>Перемычка 3ПБ 18-37п</t>
  </si>
  <si>
    <t>Перемычка 3ПБ 21-8п</t>
  </si>
  <si>
    <t>Перемычка 3ПБ 25-8п</t>
  </si>
  <si>
    <t>Перемычка 3ПБ 27-8п</t>
  </si>
  <si>
    <t>Перемычка 3ПБ 30-8п</t>
  </si>
  <si>
    <t>Перемычка 3ПБ 34-4п</t>
  </si>
  <si>
    <t>Перемычка 3ПБ 36-4п</t>
  </si>
  <si>
    <t>Перемычка 5ПБ16-27-п</t>
  </si>
  <si>
    <t>Перемычка 5ПБ 18-27п</t>
  </si>
  <si>
    <r>
      <t xml:space="preserve">Перемычка </t>
    </r>
    <r>
      <rPr>
        <sz val="10"/>
        <color indexed="8"/>
        <rFont val="Arial"/>
        <family val="2"/>
      </rPr>
      <t>5ПБ21-27-п</t>
    </r>
  </si>
  <si>
    <r>
      <t xml:space="preserve">Перемычка </t>
    </r>
    <r>
      <rPr>
        <sz val="10"/>
        <color indexed="8"/>
        <rFont val="Arial"/>
        <family val="2"/>
      </rPr>
      <t>5ПБ25-27-п</t>
    </r>
  </si>
  <si>
    <t>Перемычка 5ПБ 27-37п</t>
  </si>
  <si>
    <t>Перемычка 5ПБ30-20-п</t>
  </si>
  <si>
    <t>Перемычка 5ПБ 32-20п</t>
  </si>
  <si>
    <t>Перемычка 5ПБ34-20-п</t>
  </si>
  <si>
    <t>Перемычка 5ПБ36-20-п</t>
  </si>
  <si>
    <t>Песок (местный)</t>
  </si>
  <si>
    <t>т</t>
  </si>
  <si>
    <t>Пластина 40 мм. Металл RUUKI цвет RR32</t>
  </si>
  <si>
    <t>Пластина перфорированная тип L 3х200х30 мм.</t>
  </si>
  <si>
    <t>Подкладочный ковёр Акваизол ПЭ-1,5</t>
  </si>
  <si>
    <t>Проволка вязальная ТО 1,2 мм</t>
  </si>
  <si>
    <t>Профнастил облицовочный С -15. Металл RUUKI цвет RR32</t>
  </si>
  <si>
    <t>Рейка 50х25х3000</t>
  </si>
  <si>
    <t>Рубероид</t>
  </si>
  <si>
    <t>Саморез 5*40 Оцинкованный</t>
  </si>
  <si>
    <t>Саморез 3,5*35</t>
  </si>
  <si>
    <t>Саморез 3,5*55</t>
  </si>
  <si>
    <t>Саморез 3,5*75</t>
  </si>
  <si>
    <t>Сетка стальная сварная неоцинкованная (кладочная), проволка 3 мм, размер 0,25 м х 2 м,  ячейка 50 х 50 мм.</t>
  </si>
  <si>
    <t>Соединитель водосточной трубы PROFIL Ø 130/100</t>
  </si>
  <si>
    <t>Соединитель желоба с вкладкой PROFIL Ø 130/100</t>
  </si>
  <si>
    <t>Соединитель желоба с вкладкой PROFIL Ø 90/75</t>
  </si>
  <si>
    <t>Соединительный уголок 90х105х105 мм.(на кобылки)</t>
  </si>
  <si>
    <t>Тройник 67° PROFIL Ø 130/100</t>
  </si>
  <si>
    <t>Тройник 67° PROFIL Ø 90/75</t>
  </si>
  <si>
    <t>Труба водосточная PROFIL 3м, Ø 130/100</t>
  </si>
  <si>
    <t>Труба водосточная PROFIL 4м, Ø 130/100</t>
  </si>
  <si>
    <t>Труба водосточная PROFIL 3м, Ø  90/75</t>
  </si>
  <si>
    <t>Труба водосточная PROFIL 4м, Ø 90/75</t>
  </si>
  <si>
    <t>Труба пластиковая Ø 40</t>
  </si>
  <si>
    <t>Угол внутренний 40х40 мм. Металл RUUKI цвет RR32</t>
  </si>
  <si>
    <t>Угол наружный 40х40 мм. Металл RUUKI цвет RR32</t>
  </si>
  <si>
    <t>Угол внутренний Z 90 PROFIL Ø 130/100</t>
  </si>
  <si>
    <t>Угол наружный Z 90 PROFIL Ø 130/100</t>
  </si>
  <si>
    <t>Угол внутренний Z 135 PROFIL Ø 130/100</t>
  </si>
  <si>
    <t>Угол наружный Z 135 PROFIL Ø 130/100</t>
  </si>
  <si>
    <t>Угол внутренний Z 90 PROFIL Ø 90/75</t>
  </si>
  <si>
    <t>Угол наружный Z 90 PROFIL Ø 90/75</t>
  </si>
  <si>
    <t>Угол внутренний Z 135 PROFIL Ø 90/75</t>
  </si>
  <si>
    <t>Угол наружный Z 135 PROFIL Ø 90/75</t>
  </si>
  <si>
    <t>Уголок стальной (сталь угловая) 40х40 мм.</t>
  </si>
  <si>
    <t>Утеплитель для кровли Профитеп (в толщине 50 мм.)</t>
  </si>
  <si>
    <t>Фронтонная планка. Металл RUUKI цвет RR32</t>
  </si>
  <si>
    <t>Цемент М400</t>
  </si>
  <si>
    <t>Шайба плоская увеличенная DIN 440 (М10 34х3 мм.) Для шурупов и шпилек.</t>
  </si>
  <si>
    <t>Шайба плоская увеличенная DIN 440 (М12 45х4 мм.) Для шурупов и шпилек.</t>
  </si>
  <si>
    <t>Шайба плоская увеличенная DIN 440 (М14 60х4 мм.) Для шурупов и шпилек.</t>
  </si>
  <si>
    <t>Швеллер 10П</t>
  </si>
  <si>
    <t>Швеллер 12П</t>
  </si>
  <si>
    <t>Швеллер 14П</t>
  </si>
  <si>
    <t>Швеллер 16П</t>
  </si>
  <si>
    <t>Швеллер 18П</t>
  </si>
  <si>
    <t>Швеллер 20П</t>
  </si>
  <si>
    <t>Шифер плоский размер 10х1000х1500</t>
  </si>
  <si>
    <t>Шпилька Ø 10х1000 мм</t>
  </si>
  <si>
    <t>Шпилька Ø 12х1000 мм</t>
  </si>
  <si>
    <t>Шпилька Ø 14х1000 мм</t>
  </si>
  <si>
    <t>Шпилька Ø 16х1000 мм</t>
  </si>
  <si>
    <t xml:space="preserve">Электроды МР-3 Ø 3мм </t>
  </si>
  <si>
    <t>L-образная планка 200 мм. Металл RUUKI цвет RR32</t>
  </si>
  <si>
    <t>Итого материалы всего сводная:</t>
  </si>
  <si>
    <t>разница по расходным материалам</t>
  </si>
  <si>
    <t>Ссылки на проектную док.</t>
  </si>
  <si>
    <t>Решетка вентияционная, металлическая RAL 8017 коричневый.</t>
  </si>
  <si>
    <t>Саморез кровельный по дереву 4,8х60 RAL 8017</t>
  </si>
  <si>
    <t>АС В10</t>
  </si>
  <si>
    <t>АС 541/542 л. 2, 4, 7</t>
  </si>
  <si>
    <t>Браширование со всех сторон</t>
  </si>
  <si>
    <t>Браширование с трех сторон</t>
  </si>
  <si>
    <t>рейсмус с трех сторон</t>
  </si>
  <si>
    <t>АС 541/542 весь</t>
  </si>
  <si>
    <t>М</t>
  </si>
  <si>
    <t>Морилка Тик</t>
  </si>
  <si>
    <t>База Ролакс</t>
  </si>
  <si>
    <t>Масло льняное</t>
  </si>
  <si>
    <t>АС 541/542 л. 5, 6, 7</t>
  </si>
  <si>
    <t>для соединения стропил</t>
  </si>
  <si>
    <t>Расходники</t>
  </si>
  <si>
    <t>Фундаменты:</t>
  </si>
  <si>
    <t>ЦО-02.11-А1/10А-АС л. 5, 6, 7</t>
  </si>
  <si>
    <t>1 на каждую стропилину в районе мауэрлата</t>
  </si>
  <si>
    <t>Соединитель водосточной трубы PROFIL Ø 90/75</t>
  </si>
  <si>
    <t>Монтаж стропильной системы</t>
  </si>
  <si>
    <t>Монтаж стропил и доски с покраской</t>
  </si>
  <si>
    <t>Монтаж ОСБ плиты</t>
  </si>
  <si>
    <t>Укладка подкладочного слоя</t>
  </si>
  <si>
    <t>Укладка битумной черепицы</t>
  </si>
  <si>
    <t>ИТОГО РАБОТЫ И МАТЕРИАЛЫ:</t>
  </si>
  <si>
    <t>Шуруп 80х6мм</t>
  </si>
  <si>
    <t>Шуруп 300х12мм</t>
  </si>
  <si>
    <t>Шуруп 140х8мм</t>
  </si>
  <si>
    <t>Брус 200х200х3000</t>
  </si>
  <si>
    <t>Примечание: В смете не учтены работы по ограждениям в беседке</t>
  </si>
  <si>
    <t>OSB 2500*1250*6 Kronospan</t>
  </si>
  <si>
    <t>Бетонирование фундамента колонны (отрывка, приготовление бетона вручную, бетонирование с установкой колонны)</t>
  </si>
  <si>
    <t>Саморезы с пресс шайбой Ph Tr 4,2х25</t>
  </si>
  <si>
    <t>Шайба плоская увеличенная DIN 440 (М8 24х2 мм.) Для шурупов и шпилек.</t>
  </si>
  <si>
    <t>Щебень фр. 20-70</t>
  </si>
</sst>
</file>

<file path=xl/styles.xml><?xml version="1.0" encoding="utf-8"?>
<styleSheet xmlns="http://schemas.openxmlformats.org/spreadsheetml/2006/main">
  <numFmts count="46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 грн.&quot;_);\(#,##0.00&quot; грн.)&quot;"/>
    <numFmt numFmtId="181" formatCode="0.0"/>
    <numFmt numFmtId="182" formatCode="&quot;&quot;0.000&quot; т&quot;"/>
    <numFmt numFmtId="183" formatCode="&quot;ФМ-1 (&quot;0&quot; шт)&quot;"/>
    <numFmt numFmtId="184" formatCode="&quot;К1 (&quot;0&quot; шт)&quot;"/>
    <numFmt numFmtId="185" formatCode="&quot;К2 (&quot;0&quot; шт)&quot;"/>
    <numFmt numFmtId="186" formatCode="#,##0&quot;м.п.&quot;"/>
    <numFmt numFmtId="187" formatCode="0.00&quot;м3&quot;"/>
    <numFmt numFmtId="188" formatCode="0.00&quot;м2&quot;"/>
    <numFmt numFmtId="189" formatCode="#,##0.00\ [$грн.-422]"/>
    <numFmt numFmtId="190" formatCode="#,##0&quot; грн.&quot;_);\(#,##0&quot; грн.)&quot;"/>
    <numFmt numFmtId="191" formatCode="_-* #,##0.00_р_._-;\-* #,##0.00_р_._-;_-* \-??_р_._-;_-@_-"/>
    <numFmt numFmtId="192" formatCode="_-* #,##0.00\ _₽_-;\-* #,##0.00\ _₽_-;_-* \-??\ _₽_-;_-@_-"/>
    <numFmt numFmtId="193" formatCode="0.000"/>
    <numFmt numFmtId="194" formatCode="#,##0.00&quot; грн. &quot;;\###0.00&quot; грн.&quot;"/>
    <numFmt numFmtId="195" formatCode="0.0&quot; м.п.&quot;"/>
    <numFmt numFmtId="196" formatCode="0.0&quot; м2&quot;"/>
    <numFmt numFmtId="197" formatCode="&quot;К3 (&quot;0&quot; шт)&quot;"/>
    <numFmt numFmtId="198" formatCode="&quot;ПМ-1 (&quot;0&quot; шт)&quot;"/>
    <numFmt numFmtId="199" formatCode="&quot;ПМ-2 (&quot;0&quot; шт)&quot;"/>
    <numFmt numFmtId="200" formatCode="&quot;ПМ-3 (&quot;0&quot; шт)&quot;"/>
    <numFmt numFmtId="201" formatCode="#,##0.00&quot; грн. &quot;;\(#,##0.00&quot; грн.)&quot;"/>
  </numFmts>
  <fonts count="7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Arial"/>
      <family val="2"/>
    </font>
    <font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color indexed="10"/>
      <name val="Arial Cyr"/>
      <family val="2"/>
    </font>
    <font>
      <b/>
      <sz val="10"/>
      <name val="GOST 2.304-81"/>
      <family val="2"/>
    </font>
    <font>
      <sz val="10"/>
      <color indexed="12"/>
      <name val="Arial Cyr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 Cyr"/>
      <family val="2"/>
    </font>
    <font>
      <b/>
      <u val="single"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9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 wrapText="1"/>
    </xf>
    <xf numFmtId="1" fontId="8" fillId="34" borderId="11" xfId="0" applyNumberFormat="1" applyFont="1" applyFill="1" applyBorder="1" applyAlignment="1">
      <alignment horizontal="center" wrapText="1"/>
    </xf>
    <xf numFmtId="0" fontId="8" fillId="34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vertical="top" wrapText="1"/>
    </xf>
    <xf numFmtId="181" fontId="10" fillId="35" borderId="11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13" fillId="36" borderId="11" xfId="0" applyFont="1" applyFill="1" applyBorder="1" applyAlignment="1">
      <alignment wrapText="1"/>
    </xf>
    <xf numFmtId="0" fontId="9" fillId="36" borderId="11" xfId="0" applyFont="1" applyFill="1" applyBorder="1" applyAlignment="1">
      <alignment wrapText="1"/>
    </xf>
    <xf numFmtId="0" fontId="14" fillId="35" borderId="11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vertical="center" wrapText="1"/>
    </xf>
    <xf numFmtId="2" fontId="18" fillId="36" borderId="11" xfId="0" applyNumberFormat="1" applyFont="1" applyFill="1" applyBorder="1" applyAlignment="1">
      <alignment horizontal="center" wrapText="1"/>
    </xf>
    <xf numFmtId="0" fontId="18" fillId="35" borderId="11" xfId="0" applyFont="1" applyFill="1" applyBorder="1" applyAlignment="1">
      <alignment horizontal="left" wrapText="1"/>
    </xf>
    <xf numFmtId="0" fontId="18" fillId="35" borderId="11" xfId="0" applyFont="1" applyFill="1" applyBorder="1" applyAlignment="1">
      <alignment horizontal="center" wrapText="1"/>
    </xf>
    <xf numFmtId="0" fontId="20" fillId="35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2" fontId="9" fillId="35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vertic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4" fillId="35" borderId="0" xfId="0" applyFont="1" applyFill="1" applyBorder="1" applyAlignment="1">
      <alignment vertical="center" wrapText="1"/>
    </xf>
    <xf numFmtId="2" fontId="11" fillId="34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wrapText="1"/>
    </xf>
    <xf numFmtId="0" fontId="20" fillId="34" borderId="11" xfId="0" applyFont="1" applyFill="1" applyBorder="1" applyAlignment="1">
      <alignment wrapText="1"/>
    </xf>
    <xf numFmtId="0" fontId="9" fillId="36" borderId="12" xfId="0" applyFont="1" applyFill="1" applyBorder="1" applyAlignment="1">
      <alignment horizontal="center" wrapText="1"/>
    </xf>
    <xf numFmtId="0" fontId="19" fillId="36" borderId="11" xfId="0" applyFont="1" applyFill="1" applyBorder="1" applyAlignment="1">
      <alignment horizontal="center" wrapText="1"/>
    </xf>
    <xf numFmtId="2" fontId="10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wrapText="1"/>
    </xf>
    <xf numFmtId="0" fontId="10" fillId="36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35" borderId="13" xfId="0" applyFont="1" applyFill="1" applyBorder="1" applyAlignment="1">
      <alignment vertical="top" wrapText="1"/>
    </xf>
    <xf numFmtId="1" fontId="10" fillId="35" borderId="11" xfId="0" applyNumberFormat="1" applyFont="1" applyFill="1" applyBorder="1" applyAlignment="1">
      <alignment horizontal="center" vertical="center" wrapText="1"/>
    </xf>
    <xf numFmtId="4" fontId="19" fillId="35" borderId="11" xfId="0" applyNumberFormat="1" applyFont="1" applyFill="1" applyBorder="1" applyAlignment="1">
      <alignment horizontal="center" vertical="top" wrapText="1"/>
    </xf>
    <xf numFmtId="2" fontId="10" fillId="35" borderId="11" xfId="0" applyNumberFormat="1" applyFont="1" applyFill="1" applyBorder="1" applyAlignment="1">
      <alignment vertical="center" wrapText="1"/>
    </xf>
    <xf numFmtId="2" fontId="4" fillId="35" borderId="11" xfId="0" applyNumberFormat="1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18" fillId="38" borderId="13" xfId="0" applyFont="1" applyFill="1" applyBorder="1" applyAlignment="1">
      <alignment horizontal="right" wrapText="1"/>
    </xf>
    <xf numFmtId="0" fontId="2" fillId="38" borderId="11" xfId="0" applyFont="1" applyFill="1" applyBorder="1" applyAlignment="1">
      <alignment horizontal="center" vertical="top" wrapText="1"/>
    </xf>
    <xf numFmtId="4" fontId="25" fillId="35" borderId="11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wrapText="1"/>
    </xf>
    <xf numFmtId="2" fontId="25" fillId="35" borderId="11" xfId="0" applyNumberFormat="1" applyFont="1" applyFill="1" applyBorder="1" applyAlignment="1">
      <alignment horizontal="center" wrapText="1"/>
    </xf>
    <xf numFmtId="186" fontId="25" fillId="35" borderId="11" xfId="0" applyNumberFormat="1" applyFont="1" applyFill="1" applyBorder="1" applyAlignment="1">
      <alignment horizontal="center" wrapText="1"/>
    </xf>
    <xf numFmtId="187" fontId="25" fillId="35" borderId="11" xfId="0" applyNumberFormat="1" applyFont="1" applyFill="1" applyBorder="1" applyAlignment="1">
      <alignment horizontal="center" wrapText="1"/>
    </xf>
    <xf numFmtId="187" fontId="2" fillId="35" borderId="11" xfId="0" applyNumberFormat="1" applyFont="1" applyFill="1" applyBorder="1" applyAlignment="1">
      <alignment horizontal="center" wrapText="1"/>
    </xf>
    <xf numFmtId="188" fontId="2" fillId="35" borderId="11" xfId="0" applyNumberFormat="1" applyFont="1" applyFill="1" applyBorder="1" applyAlignment="1">
      <alignment horizontal="center" wrapText="1"/>
    </xf>
    <xf numFmtId="0" fontId="9" fillId="36" borderId="13" xfId="0" applyFont="1" applyFill="1" applyBorder="1" applyAlignment="1">
      <alignment wrapText="1"/>
    </xf>
    <xf numFmtId="2" fontId="0" fillId="36" borderId="11" xfId="0" applyNumberFormat="1" applyFont="1" applyFill="1" applyBorder="1" applyAlignment="1">
      <alignment horizontal="center" wrapText="1"/>
    </xf>
    <xf numFmtId="2" fontId="2" fillId="38" borderId="11" xfId="0" applyNumberFormat="1" applyFont="1" applyFill="1" applyBorder="1" applyAlignment="1">
      <alignment horizontal="center" wrapText="1"/>
    </xf>
    <xf numFmtId="2" fontId="25" fillId="38" borderId="11" xfId="0" applyNumberFormat="1" applyFont="1" applyFill="1" applyBorder="1" applyAlignment="1">
      <alignment horizontal="center" wrapText="1"/>
    </xf>
    <xf numFmtId="0" fontId="0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 vertical="top" wrapText="1"/>
    </xf>
    <xf numFmtId="0" fontId="10" fillId="36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2" fillId="39" borderId="13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center" vertical="top" wrapText="1"/>
    </xf>
    <xf numFmtId="2" fontId="0" fillId="38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vertical="center" wrapText="1"/>
    </xf>
    <xf numFmtId="0" fontId="27" fillId="35" borderId="11" xfId="0" applyFont="1" applyFill="1" applyBorder="1" applyAlignment="1">
      <alignment vertical="center" wrapText="1"/>
    </xf>
    <xf numFmtId="0" fontId="27" fillId="38" borderId="11" xfId="0" applyFont="1" applyFill="1" applyBorder="1" applyAlignment="1">
      <alignment horizontal="center" vertical="top" wrapText="1"/>
    </xf>
    <xf numFmtId="2" fontId="27" fillId="38" borderId="11" xfId="0" applyNumberFormat="1" applyFont="1" applyFill="1" applyBorder="1" applyAlignment="1">
      <alignment horizontal="center" wrapText="1"/>
    </xf>
    <xf numFmtId="4" fontId="0" fillId="36" borderId="11" xfId="0" applyNumberForma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40" borderId="11" xfId="0" applyFont="1" applyFill="1" applyBorder="1" applyAlignment="1">
      <alignment/>
    </xf>
    <xf numFmtId="0" fontId="28" fillId="40" borderId="11" xfId="0" applyFont="1" applyFill="1" applyBorder="1" applyAlignment="1">
      <alignment/>
    </xf>
    <xf numFmtId="0" fontId="0" fillId="40" borderId="0" xfId="0" applyFont="1" applyFill="1" applyAlignment="1">
      <alignment/>
    </xf>
    <xf numFmtId="0" fontId="0" fillId="41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horizontal="center" vertical="top" wrapText="1"/>
    </xf>
    <xf numFmtId="4" fontId="30" fillId="0" borderId="11" xfId="0" applyNumberFormat="1" applyFont="1" applyBorder="1" applyAlignment="1">
      <alignment horizontal="center" vertical="center" wrapText="1"/>
    </xf>
    <xf numFmtId="191" fontId="31" fillId="0" borderId="11" xfId="52" applyFont="1" applyFill="1" applyBorder="1" applyAlignment="1" applyProtection="1">
      <alignment horizontal="center" vertical="center" wrapText="1"/>
      <protection/>
    </xf>
    <xf numFmtId="0" fontId="30" fillId="0" borderId="11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5" borderId="11" xfId="0" applyFont="1" applyFill="1" applyBorder="1" applyAlignment="1">
      <alignment horizontal="center" vertical="center" wrapText="1"/>
    </xf>
    <xf numFmtId="191" fontId="31" fillId="35" borderId="11" xfId="52" applyFont="1" applyFill="1" applyBorder="1" applyAlignment="1" applyProtection="1">
      <alignment horizontal="center" vertical="center" wrapText="1"/>
      <protection/>
    </xf>
    <xf numFmtId="182" fontId="30" fillId="35" borderId="11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 wrapText="1"/>
    </xf>
    <xf numFmtId="0" fontId="0" fillId="41" borderId="11" xfId="0" applyFont="1" applyFill="1" applyBorder="1" applyAlignment="1">
      <alignment vertical="center" wrapText="1"/>
    </xf>
    <xf numFmtId="0" fontId="29" fillId="35" borderId="11" xfId="0" applyFont="1" applyFill="1" applyBorder="1" applyAlignment="1">
      <alignment horizontal="center" vertical="top" wrapText="1"/>
    </xf>
    <xf numFmtId="0" fontId="29" fillId="35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right" vertical="center" wrapText="1"/>
    </xf>
    <xf numFmtId="2" fontId="30" fillId="0" borderId="13" xfId="0" applyNumberFormat="1" applyFont="1" applyFill="1" applyBorder="1" applyAlignment="1">
      <alignment vertical="center" wrapText="1"/>
    </xf>
    <xf numFmtId="0" fontId="30" fillId="0" borderId="13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41" borderId="15" xfId="0" applyFont="1" applyFill="1" applyBorder="1" applyAlignment="1">
      <alignment vertical="top" wrapText="1"/>
    </xf>
    <xf numFmtId="2" fontId="30" fillId="35" borderId="11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 wrapText="1"/>
    </xf>
    <xf numFmtId="182" fontId="30" fillId="35" borderId="13" xfId="0" applyNumberFormat="1" applyFont="1" applyFill="1" applyBorder="1" applyAlignment="1">
      <alignment vertical="center" wrapText="1"/>
    </xf>
    <xf numFmtId="0" fontId="0" fillId="41" borderId="11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29" fillId="35" borderId="11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vertical="center" wrapText="1"/>
    </xf>
    <xf numFmtId="0" fontId="33" fillId="35" borderId="11" xfId="0" applyFont="1" applyFill="1" applyBorder="1" applyAlignment="1">
      <alignment horizontal="right" wrapText="1"/>
    </xf>
    <xf numFmtId="191" fontId="34" fillId="0" borderId="11" xfId="52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2" fontId="3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15" fillId="38" borderId="11" xfId="0" applyFont="1" applyFill="1" applyBorder="1" applyAlignment="1">
      <alignment horizontal="right" wrapText="1"/>
    </xf>
    <xf numFmtId="0" fontId="0" fillId="42" borderId="0" xfId="0" applyFont="1" applyFill="1" applyAlignment="1">
      <alignment/>
    </xf>
    <xf numFmtId="0" fontId="27" fillId="35" borderId="11" xfId="0" applyFont="1" applyFill="1" applyBorder="1" applyAlignment="1">
      <alignment vertical="top" wrapText="1"/>
    </xf>
    <xf numFmtId="0" fontId="27" fillId="35" borderId="11" xfId="0" applyFont="1" applyFill="1" applyBorder="1" applyAlignment="1">
      <alignment horizontal="center" vertical="top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 vertical="center" wrapText="1"/>
    </xf>
    <xf numFmtId="0" fontId="0" fillId="36" borderId="11" xfId="0" applyFill="1" applyBorder="1" applyAlignment="1">
      <alignment horizontal="center" vertical="top" wrapText="1"/>
    </xf>
    <xf numFmtId="2" fontId="0" fillId="36" borderId="11" xfId="0" applyNumberFormat="1" applyFill="1" applyBorder="1" applyAlignment="1">
      <alignment horizontal="center" wrapText="1"/>
    </xf>
    <xf numFmtId="2" fontId="15" fillId="36" borderId="11" xfId="0" applyNumberFormat="1" applyFont="1" applyFill="1" applyBorder="1" applyAlignment="1">
      <alignment horizontal="center" wrapText="1"/>
    </xf>
    <xf numFmtId="0" fontId="16" fillId="36" borderId="11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vertical="center" wrapText="1"/>
    </xf>
    <xf numFmtId="4" fontId="27" fillId="38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center" wrapText="1"/>
    </xf>
    <xf numFmtId="2" fontId="30" fillId="43" borderId="11" xfId="0" applyNumberFormat="1" applyFont="1" applyFill="1" applyBorder="1" applyAlignment="1">
      <alignment horizontal="center" vertical="center" wrapText="1"/>
    </xf>
    <xf numFmtId="4" fontId="30" fillId="43" borderId="11" xfId="0" applyNumberFormat="1" applyFont="1" applyFill="1" applyBorder="1" applyAlignment="1">
      <alignment horizontal="center" vertical="center" wrapText="1"/>
    </xf>
    <xf numFmtId="4" fontId="30" fillId="43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horizontal="center" wrapText="1"/>
    </xf>
    <xf numFmtId="0" fontId="18" fillId="44" borderId="12" xfId="0" applyFont="1" applyFill="1" applyBorder="1" applyAlignment="1">
      <alignment horizontal="right" wrapText="1"/>
    </xf>
    <xf numFmtId="0" fontId="18" fillId="44" borderId="12" xfId="0" applyFont="1" applyFill="1" applyBorder="1" applyAlignment="1">
      <alignment horizontal="center" wrapText="1"/>
    </xf>
    <xf numFmtId="2" fontId="4" fillId="44" borderId="12" xfId="0" applyNumberFormat="1" applyFont="1" applyFill="1" applyBorder="1" applyAlignment="1">
      <alignment horizontal="center" vertical="center" wrapText="1"/>
    </xf>
    <xf numFmtId="2" fontId="18" fillId="44" borderId="12" xfId="0" applyNumberFormat="1" applyFont="1" applyFill="1" applyBorder="1" applyAlignment="1">
      <alignment horizontal="center" wrapText="1"/>
    </xf>
    <xf numFmtId="2" fontId="25" fillId="44" borderId="12" xfId="0" applyNumberFormat="1" applyFont="1" applyFill="1" applyBorder="1" applyAlignment="1">
      <alignment horizontal="center" wrapText="1"/>
    </xf>
    <xf numFmtId="0" fontId="14" fillId="35" borderId="16" xfId="0" applyFont="1" applyFill="1" applyBorder="1" applyAlignment="1">
      <alignment wrapText="1"/>
    </xf>
    <xf numFmtId="2" fontId="4" fillId="37" borderId="11" xfId="0" applyNumberFormat="1" applyFont="1" applyFill="1" applyBorder="1" applyAlignment="1">
      <alignment horizontal="center" vertical="center" wrapText="1"/>
    </xf>
    <xf numFmtId="2" fontId="6" fillId="37" borderId="11" xfId="0" applyNumberFormat="1" applyFont="1" applyFill="1" applyBorder="1" applyAlignment="1">
      <alignment horizontal="center" wrapText="1"/>
    </xf>
    <xf numFmtId="1" fontId="36" fillId="37" borderId="11" xfId="0" applyNumberFormat="1" applyFont="1" applyFill="1" applyBorder="1" applyAlignment="1">
      <alignment horizontal="center" wrapText="1"/>
    </xf>
    <xf numFmtId="0" fontId="7" fillId="37" borderId="11" xfId="0" applyFont="1" applyFill="1" applyBorder="1" applyAlignment="1">
      <alignment wrapText="1"/>
    </xf>
    <xf numFmtId="0" fontId="0" fillId="45" borderId="13" xfId="0" applyFont="1" applyFill="1" applyBorder="1" applyAlignment="1">
      <alignment vertical="top" wrapText="1"/>
    </xf>
    <xf numFmtId="0" fontId="0" fillId="4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Заголовок сводной таблицы" xfId="33"/>
    <cellStyle name="Значение сводной таблицы" xfId="34"/>
    <cellStyle name="Категория сводной таблицы" xfId="35"/>
    <cellStyle name="Обычный 2" xfId="36"/>
    <cellStyle name="Обычный 3" xfId="37"/>
    <cellStyle name="Обычный 5" xfId="38"/>
    <cellStyle name="Обычный 6" xfId="39"/>
    <cellStyle name="Поле сводной таблицы" xfId="40"/>
    <cellStyle name="Результат сводной таблицы" xfId="41"/>
    <cellStyle name="Угол сводной таблицы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urrency" xfId="54"/>
    <cellStyle name="Currency [0]" xfId="55"/>
    <cellStyle name="Excel Built-in Normal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3FF23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CC"/>
      <rgbColor rgb="00000080"/>
      <rgbColor rgb="00FF00FF"/>
      <rgbColor rgb="00FFFF00"/>
      <rgbColor rgb="003DEB3D"/>
      <rgbColor rgb="00800080"/>
      <rgbColor rgb="00800000"/>
      <rgbColor rgb="00008080"/>
      <rgbColor rgb="000000FF"/>
      <rgbColor rgb="0000CCFF"/>
      <rgbColor rgb="00E6E6FF"/>
      <rgbColor rgb="00E6E6E6"/>
      <rgbColor rgb="00FFFF99"/>
      <rgbColor rgb="0099CCFF"/>
      <rgbColor rgb="00FF99CC"/>
      <rgbColor rgb="00CC99FF"/>
      <rgbColor rgb="00FFCC99"/>
      <rgbColor rgb="003366FF"/>
      <rgbColor rgb="0033CC66"/>
      <rgbColor rgb="0094BD5E"/>
      <rgbColor rgb="00FFCC00"/>
      <rgbColor rgb="00FF9900"/>
      <rgbColor rgb="00FF3366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zoomScale="70" zoomScaleNormal="70" zoomScaleSheetLayoutView="100" zoomScalePageLayoutView="0" workbookViewId="0" topLeftCell="A1">
      <selection activeCell="G53" sqref="G53"/>
    </sheetView>
  </sheetViews>
  <sheetFormatPr defaultColWidth="77.125" defaultRowHeight="12.75" outlineLevelRow="1"/>
  <cols>
    <col min="1" max="1" width="4.875" style="0" customWidth="1"/>
    <col min="2" max="2" width="11.875" style="1" customWidth="1"/>
    <col min="3" max="3" width="95.125" style="0" customWidth="1"/>
    <col min="4" max="4" width="13.50390625" style="0" customWidth="1"/>
    <col min="5" max="5" width="20.625" style="0" customWidth="1"/>
    <col min="6" max="6" width="23.00390625" style="0" customWidth="1"/>
    <col min="7" max="7" width="22.125" style="0" customWidth="1"/>
    <col min="8" max="8" width="13.875" style="0" customWidth="1"/>
    <col min="9" max="9" width="13.50390625" style="2" customWidth="1"/>
    <col min="10" max="10" width="48.125" style="2" customWidth="1"/>
    <col min="11" max="11" width="42.125" style="2" customWidth="1"/>
    <col min="12" max="12" width="74.00390625" style="2" customWidth="1"/>
    <col min="13" max="252" width="77.125" style="2" customWidth="1"/>
    <col min="253" max="16384" width="77.125" style="3" customWidth="1"/>
  </cols>
  <sheetData>
    <row r="1" spans="2:8" ht="16.5" customHeight="1">
      <c r="B1" s="163"/>
      <c r="C1" s="163"/>
      <c r="D1" s="163"/>
      <c r="E1" s="163"/>
      <c r="F1" s="163"/>
      <c r="G1" s="163"/>
      <c r="H1" s="163"/>
    </row>
    <row r="2" spans="2:14" ht="44.25" customHeight="1">
      <c r="B2" s="4" t="s">
        <v>0</v>
      </c>
      <c r="C2" s="4" t="s">
        <v>1</v>
      </c>
      <c r="D2" s="4" t="s">
        <v>2</v>
      </c>
      <c r="E2" s="5" t="s">
        <v>3</v>
      </c>
      <c r="F2" s="123" t="s">
        <v>4</v>
      </c>
      <c r="G2" s="6" t="s">
        <v>5</v>
      </c>
      <c r="H2" s="7" t="s">
        <v>6</v>
      </c>
      <c r="I2" s="7" t="s">
        <v>6</v>
      </c>
      <c r="J2" s="7" t="s">
        <v>223</v>
      </c>
      <c r="K2" s="124" t="s">
        <v>7</v>
      </c>
      <c r="L2" s="124" t="s">
        <v>8</v>
      </c>
      <c r="M2" s="124" t="s">
        <v>9</v>
      </c>
      <c r="N2" s="2" t="s">
        <v>10</v>
      </c>
    </row>
    <row r="3" spans="2:13" ht="21.75" customHeight="1">
      <c r="B3" s="9">
        <v>1</v>
      </c>
      <c r="C3" s="8" t="s">
        <v>22</v>
      </c>
      <c r="D3" s="9" t="s">
        <v>19</v>
      </c>
      <c r="E3" s="39">
        <f>E19</f>
        <v>178.2</v>
      </c>
      <c r="F3" s="40"/>
      <c r="G3" s="10"/>
      <c r="H3" s="11"/>
      <c r="I3" s="8"/>
      <c r="J3" s="41" t="s">
        <v>226</v>
      </c>
      <c r="K3" s="8"/>
      <c r="L3" s="8"/>
      <c r="M3" s="8"/>
    </row>
    <row r="4" spans="2:13" ht="15.75">
      <c r="B4" s="42"/>
      <c r="C4" s="20" t="s">
        <v>23</v>
      </c>
      <c r="D4" s="43" t="s">
        <v>2</v>
      </c>
      <c r="E4" s="44" t="s">
        <v>24</v>
      </c>
      <c r="F4" s="45" t="s">
        <v>25</v>
      </c>
      <c r="G4" s="45" t="s">
        <v>26</v>
      </c>
      <c r="H4" s="46" t="s">
        <v>27</v>
      </c>
      <c r="I4" s="46" t="s">
        <v>11</v>
      </c>
      <c r="J4" s="47" t="s">
        <v>227</v>
      </c>
      <c r="K4" s="48" t="s">
        <v>28</v>
      </c>
      <c r="L4" s="48"/>
      <c r="M4" s="48"/>
    </row>
    <row r="5" spans="2:13" ht="15.75">
      <c r="B5" s="49">
        <v>1</v>
      </c>
      <c r="C5" s="50" t="str">
        <f>C92</f>
        <v>Брус 100х100х4000</v>
      </c>
      <c r="D5" s="12" t="s">
        <v>13</v>
      </c>
      <c r="E5" s="51">
        <v>8</v>
      </c>
      <c r="F5" s="15">
        <f>F92</f>
        <v>3650</v>
      </c>
      <c r="G5" s="15">
        <f aca="true" t="shared" si="0" ref="G5:G16">I5*F5</f>
        <v>1168.0000000000002</v>
      </c>
      <c r="H5" s="52">
        <f>E5*4</f>
        <v>32</v>
      </c>
      <c r="I5" s="16">
        <f>E5*0.1*0.1*4</f>
        <v>0.32000000000000006</v>
      </c>
      <c r="J5" s="18" t="s">
        <v>228</v>
      </c>
      <c r="K5" s="18">
        <f>H5*0.4</f>
        <v>12.8</v>
      </c>
      <c r="L5" s="18"/>
      <c r="M5" s="17"/>
    </row>
    <row r="6" spans="2:13" ht="15.75">
      <c r="B6" s="49">
        <v>1</v>
      </c>
      <c r="C6" s="50" t="str">
        <f>C94</f>
        <v>Брус 100х150х4000</v>
      </c>
      <c r="D6" s="12" t="s">
        <v>13</v>
      </c>
      <c r="E6" s="51">
        <v>0</v>
      </c>
      <c r="F6" s="15">
        <f>F94</f>
        <v>3650</v>
      </c>
      <c r="G6" s="15">
        <f t="shared" si="0"/>
        <v>0</v>
      </c>
      <c r="H6" s="52">
        <f>E6*4</f>
        <v>0</v>
      </c>
      <c r="I6" s="16">
        <f>E6*0.1*0.15*4</f>
        <v>0</v>
      </c>
      <c r="J6" s="18" t="s">
        <v>228</v>
      </c>
      <c r="K6" s="18">
        <f>H6*0.5</f>
        <v>0</v>
      </c>
      <c r="L6" s="18"/>
      <c r="M6" s="17"/>
    </row>
    <row r="7" spans="2:13" ht="15.75">
      <c r="B7" s="49">
        <v>1</v>
      </c>
      <c r="C7" s="50" t="str">
        <f>C96</f>
        <v>Брус 100х150х6000</v>
      </c>
      <c r="D7" s="12" t="s">
        <v>13</v>
      </c>
      <c r="E7" s="51">
        <v>0</v>
      </c>
      <c r="F7" s="15">
        <f>F96</f>
        <v>4000</v>
      </c>
      <c r="G7" s="15">
        <f t="shared" si="0"/>
        <v>0</v>
      </c>
      <c r="H7" s="52">
        <f>E7*6</f>
        <v>0</v>
      </c>
      <c r="I7" s="16">
        <f>E7*0.1*0.15*6</f>
        <v>0</v>
      </c>
      <c r="J7" s="18" t="s">
        <v>228</v>
      </c>
      <c r="K7" s="18">
        <f>H7*0.5</f>
        <v>0</v>
      </c>
      <c r="L7" s="18"/>
      <c r="M7" s="17"/>
    </row>
    <row r="8" spans="2:13" ht="15.75" outlineLevel="1">
      <c r="B8" s="49">
        <v>2</v>
      </c>
      <c r="C8" s="50" t="str">
        <f>C103</f>
        <v>Брус 150х200х4000</v>
      </c>
      <c r="D8" s="12" t="s">
        <v>13</v>
      </c>
      <c r="E8" s="51">
        <v>0</v>
      </c>
      <c r="F8" s="15">
        <f>F103</f>
        <v>3650</v>
      </c>
      <c r="G8" s="15">
        <f t="shared" si="0"/>
        <v>0</v>
      </c>
      <c r="H8" s="52">
        <f>E8*4</f>
        <v>0</v>
      </c>
      <c r="I8" s="16">
        <f>E8*0.15*0.2*4</f>
        <v>0</v>
      </c>
      <c r="J8" s="18" t="s">
        <v>228</v>
      </c>
      <c r="K8" s="18">
        <f>H8*0.7</f>
        <v>0</v>
      </c>
      <c r="L8" s="18"/>
      <c r="M8" s="17"/>
    </row>
    <row r="9" spans="2:13" ht="15.75" outlineLevel="1">
      <c r="B9" s="49">
        <v>3</v>
      </c>
      <c r="C9" s="50" t="str">
        <f>C105</f>
        <v>Брус 150х200х6000</v>
      </c>
      <c r="D9" s="12" t="s">
        <v>13</v>
      </c>
      <c r="E9" s="51">
        <v>0</v>
      </c>
      <c r="F9" s="15">
        <f>F105</f>
        <v>4000</v>
      </c>
      <c r="G9" s="15">
        <f t="shared" si="0"/>
        <v>0</v>
      </c>
      <c r="H9" s="52">
        <f>E9*6</f>
        <v>0</v>
      </c>
      <c r="I9" s="16">
        <f>E9*0.15*0.2*6</f>
        <v>0</v>
      </c>
      <c r="J9" s="18" t="s">
        <v>228</v>
      </c>
      <c r="K9" s="18">
        <f>H9*0.7</f>
        <v>0</v>
      </c>
      <c r="L9" s="18"/>
      <c r="M9" s="17"/>
    </row>
    <row r="10" spans="2:13" ht="15.75" outlineLevel="1">
      <c r="B10" s="49">
        <v>4</v>
      </c>
      <c r="C10" s="50" t="str">
        <f>C91</f>
        <v>Брус 50х200х6000</v>
      </c>
      <c r="D10" s="12" t="s">
        <v>13</v>
      </c>
      <c r="E10" s="51">
        <f>78+19+10</f>
        <v>107</v>
      </c>
      <c r="F10" s="15">
        <f>F91</f>
        <v>4000</v>
      </c>
      <c r="G10" s="15">
        <f t="shared" si="0"/>
        <v>25680</v>
      </c>
      <c r="H10" s="52">
        <f>E10*6</f>
        <v>642</v>
      </c>
      <c r="I10" s="16">
        <f>E10*0.05*0.2*6</f>
        <v>6.42</v>
      </c>
      <c r="J10" s="18" t="s">
        <v>229</v>
      </c>
      <c r="K10" s="18">
        <f>H10*0.5</f>
        <v>321</v>
      </c>
      <c r="L10" s="18"/>
      <c r="M10" s="17"/>
    </row>
    <row r="11" spans="2:13" ht="15.75" outlineLevel="1">
      <c r="B11" s="49">
        <v>4</v>
      </c>
      <c r="C11" s="50" t="str">
        <f>C90</f>
        <v>Брус 50х200х4500</v>
      </c>
      <c r="D11" s="12" t="s">
        <v>13</v>
      </c>
      <c r="E11" s="51">
        <f>39*2</f>
        <v>78</v>
      </c>
      <c r="F11" s="15">
        <f>F90</f>
        <v>3650</v>
      </c>
      <c r="G11" s="15">
        <f t="shared" si="0"/>
        <v>12811.500000000002</v>
      </c>
      <c r="H11" s="52">
        <f>E11*4.5</f>
        <v>351</v>
      </c>
      <c r="I11" s="16">
        <f>E11*0.05*0.2*4.5</f>
        <v>3.5100000000000007</v>
      </c>
      <c r="J11" s="18" t="s">
        <v>229</v>
      </c>
      <c r="K11" s="18">
        <f>H11*0.5</f>
        <v>175.5</v>
      </c>
      <c r="L11" s="18"/>
      <c r="M11" s="17"/>
    </row>
    <row r="12" spans="2:13" ht="15.75" outlineLevel="1">
      <c r="B12" s="49">
        <v>5</v>
      </c>
      <c r="C12" s="50" t="str">
        <f>C89</f>
        <v>Брус 50х200х4000</v>
      </c>
      <c r="D12" s="12" t="s">
        <v>13</v>
      </c>
      <c r="E12" s="51">
        <f>39</f>
        <v>39</v>
      </c>
      <c r="F12" s="15">
        <f>F89</f>
        <v>3650</v>
      </c>
      <c r="G12" s="15">
        <f t="shared" si="0"/>
        <v>5694.000000000001</v>
      </c>
      <c r="H12" s="52">
        <f>E12*4</f>
        <v>156</v>
      </c>
      <c r="I12" s="16">
        <f>E12*0.05*0.2*4</f>
        <v>1.5600000000000003</v>
      </c>
      <c r="J12" s="18" t="s">
        <v>229</v>
      </c>
      <c r="K12" s="18">
        <f>H12*0.5</f>
        <v>78</v>
      </c>
      <c r="L12" s="18"/>
      <c r="M12" s="17"/>
    </row>
    <row r="13" spans="2:13" ht="15.75" outlineLevel="1">
      <c r="B13" s="49">
        <v>5</v>
      </c>
      <c r="C13" s="50" t="str">
        <f>C97</f>
        <v>Брус 100х200х4000</v>
      </c>
      <c r="D13" s="12" t="s">
        <v>13</v>
      </c>
      <c r="E13" s="51">
        <f>9*2</f>
        <v>18</v>
      </c>
      <c r="F13" s="15">
        <f>F97</f>
        <v>3650</v>
      </c>
      <c r="G13" s="15">
        <f t="shared" si="0"/>
        <v>5256.000000000001</v>
      </c>
      <c r="H13" s="52">
        <f>E13*4</f>
        <v>72</v>
      </c>
      <c r="I13" s="16">
        <f>E13*0.1*0.2*4</f>
        <v>1.4400000000000002</v>
      </c>
      <c r="J13" s="18" t="s">
        <v>229</v>
      </c>
      <c r="K13" s="18">
        <f>H13*0.6</f>
        <v>43.2</v>
      </c>
      <c r="L13" s="18"/>
      <c r="M13" s="17"/>
    </row>
    <row r="14" spans="2:13" ht="15.75" outlineLevel="1">
      <c r="B14" s="49">
        <v>5</v>
      </c>
      <c r="C14" s="50" t="str">
        <f>C106</f>
        <v>Брус 200х200х3000</v>
      </c>
      <c r="D14" s="12" t="s">
        <v>13</v>
      </c>
      <c r="E14" s="51">
        <v>20</v>
      </c>
      <c r="F14" s="15">
        <f>F106</f>
        <v>3650</v>
      </c>
      <c r="G14" s="15">
        <f t="shared" si="0"/>
        <v>8760.000000000002</v>
      </c>
      <c r="H14" s="52">
        <f>E14*3</f>
        <v>60</v>
      </c>
      <c r="I14" s="16">
        <f>E14*0.2*0.2*3</f>
        <v>2.4000000000000004</v>
      </c>
      <c r="J14" s="18" t="s">
        <v>228</v>
      </c>
      <c r="K14" s="18">
        <f>H14*0.8</f>
        <v>48</v>
      </c>
      <c r="L14" s="18"/>
      <c r="M14" s="17"/>
    </row>
    <row r="15" spans="2:13" ht="15.75" outlineLevel="1">
      <c r="B15" s="49">
        <v>7</v>
      </c>
      <c r="C15" s="50" t="str">
        <f>C127</f>
        <v>Доска 25х100х4000</v>
      </c>
      <c r="D15" s="12" t="s">
        <v>13</v>
      </c>
      <c r="E15" s="51">
        <f>(E19*10)/4*1.05+0.5+6</f>
        <v>474.27500000000003</v>
      </c>
      <c r="F15" s="15">
        <f>F127</f>
        <v>3650</v>
      </c>
      <c r="G15" s="15">
        <f t="shared" si="0"/>
        <v>17311.037500000002</v>
      </c>
      <c r="H15" s="52">
        <f>E15*4</f>
        <v>1897.1000000000001</v>
      </c>
      <c r="I15" s="53">
        <f>E15*0.025*0.1*4</f>
        <v>4.742750000000001</v>
      </c>
      <c r="J15" s="18" t="s">
        <v>230</v>
      </c>
      <c r="K15" s="54">
        <f>H15*0.25</f>
        <v>474.27500000000003</v>
      </c>
      <c r="L15" s="18"/>
      <c r="M15" s="17"/>
    </row>
    <row r="16" spans="2:13" ht="15.75" outlineLevel="1">
      <c r="B16" s="49">
        <v>7</v>
      </c>
      <c r="C16" s="50" t="str">
        <f>C128</f>
        <v>Доска 25х200х4000</v>
      </c>
      <c r="D16" s="12" t="s">
        <v>13</v>
      </c>
      <c r="E16" s="51">
        <f>8*2</f>
        <v>16</v>
      </c>
      <c r="F16" s="15">
        <f>F128</f>
        <v>3650</v>
      </c>
      <c r="G16" s="15">
        <f t="shared" si="0"/>
        <v>1168.0000000000002</v>
      </c>
      <c r="H16" s="52">
        <f>E16*4</f>
        <v>64</v>
      </c>
      <c r="I16" s="53">
        <f>E16*0.025*0.2*4</f>
        <v>0.32000000000000006</v>
      </c>
      <c r="J16" s="18" t="s">
        <v>230</v>
      </c>
      <c r="K16" s="54">
        <f>H16*0.45</f>
        <v>28.8</v>
      </c>
      <c r="L16" s="18"/>
      <c r="M16" s="17"/>
    </row>
    <row r="17" spans="1:13" s="38" customFormat="1" ht="15.75" outlineLevel="1">
      <c r="A17"/>
      <c r="B17" s="55"/>
      <c r="C17" s="56" t="s">
        <v>16</v>
      </c>
      <c r="D17" s="57"/>
      <c r="E17" s="58"/>
      <c r="F17" s="59"/>
      <c r="G17" s="60">
        <f>SUM(G5:G16)</f>
        <v>77848.5375</v>
      </c>
      <c r="H17" s="61">
        <f>SUM(H6:H15)</f>
        <v>3178.1000000000004</v>
      </c>
      <c r="I17" s="62">
        <f>SUM(I6:I15)</f>
        <v>20.07275</v>
      </c>
      <c r="J17" s="63"/>
      <c r="K17" s="64">
        <f>SUM(K5:K16)</f>
        <v>1181.575</v>
      </c>
      <c r="L17" s="63"/>
      <c r="M17" s="63"/>
    </row>
    <row r="18" spans="2:13" ht="15.75" outlineLevel="1">
      <c r="B18" s="69"/>
      <c r="C18" s="65" t="s">
        <v>29</v>
      </c>
      <c r="D18" s="70"/>
      <c r="E18" s="66"/>
      <c r="F18" s="66"/>
      <c r="G18" s="26"/>
      <c r="H18" s="71"/>
      <c r="I18" s="34"/>
      <c r="J18" s="47" t="s">
        <v>231</v>
      </c>
      <c r="K18" s="34"/>
      <c r="L18" s="34"/>
      <c r="M18" s="34"/>
    </row>
    <row r="19" spans="2:13" ht="31.5" outlineLevel="1">
      <c r="B19" s="72"/>
      <c r="C19" s="73" t="s">
        <v>30</v>
      </c>
      <c r="D19" s="12" t="s">
        <v>19</v>
      </c>
      <c r="E19" s="15">
        <v>178.2</v>
      </c>
      <c r="F19" s="15"/>
      <c r="G19" s="15"/>
      <c r="H19" s="16" t="s">
        <v>31</v>
      </c>
      <c r="I19" s="17"/>
      <c r="J19" s="17"/>
      <c r="K19" s="17"/>
      <c r="L19" s="17"/>
      <c r="M19" s="17"/>
    </row>
    <row r="20" spans="2:13" ht="15.75" outlineLevel="1">
      <c r="B20" s="72"/>
      <c r="C20" s="73" t="s">
        <v>32</v>
      </c>
      <c r="D20" s="12" t="s">
        <v>12</v>
      </c>
      <c r="E20" s="24">
        <v>30.45</v>
      </c>
      <c r="F20" s="15"/>
      <c r="G20" s="15"/>
      <c r="H20" s="16"/>
      <c r="I20" s="17"/>
      <c r="J20" s="17"/>
      <c r="K20" s="17"/>
      <c r="L20" s="17"/>
      <c r="M20" s="17"/>
    </row>
    <row r="21" spans="2:13" ht="15.75" outlineLevel="1">
      <c r="B21" s="72"/>
      <c r="C21" s="73" t="s">
        <v>33</v>
      </c>
      <c r="D21" s="12" t="s">
        <v>12</v>
      </c>
      <c r="E21" s="15">
        <v>0</v>
      </c>
      <c r="F21" s="15"/>
      <c r="G21" s="15"/>
      <c r="H21" s="16"/>
      <c r="I21" s="17"/>
      <c r="J21" s="17"/>
      <c r="K21" s="17"/>
      <c r="L21" s="17"/>
      <c r="M21" s="17"/>
    </row>
    <row r="22" spans="2:13" ht="15.75" outlineLevel="1">
      <c r="B22" s="72"/>
      <c r="C22" s="73" t="s">
        <v>34</v>
      </c>
      <c r="D22" s="12" t="s">
        <v>12</v>
      </c>
      <c r="E22" s="24">
        <v>0</v>
      </c>
      <c r="F22" s="15"/>
      <c r="G22" s="15"/>
      <c r="H22" s="16"/>
      <c r="I22" s="17"/>
      <c r="J22" s="17"/>
      <c r="K22" s="17"/>
      <c r="L22" s="17"/>
      <c r="M22" s="17"/>
    </row>
    <row r="23" spans="2:13" ht="15.75" outlineLevel="1">
      <c r="B23" s="72"/>
      <c r="C23" s="73" t="s">
        <v>35</v>
      </c>
      <c r="D23" s="12" t="s">
        <v>12</v>
      </c>
      <c r="E23" s="24">
        <f>E20*2</f>
        <v>60.9</v>
      </c>
      <c r="F23" s="15"/>
      <c r="G23" s="15"/>
      <c r="H23" s="16"/>
      <c r="I23" s="17"/>
      <c r="J23" s="17"/>
      <c r="K23" s="17"/>
      <c r="L23" s="17"/>
      <c r="M23" s="17"/>
    </row>
    <row r="24" spans="2:13" ht="15.75" outlineLevel="1">
      <c r="B24" s="72"/>
      <c r="C24" s="73" t="s">
        <v>36</v>
      </c>
      <c r="D24" s="12" t="s">
        <v>12</v>
      </c>
      <c r="E24" s="24">
        <f>11.7*2</f>
        <v>23.4</v>
      </c>
      <c r="F24" s="15"/>
      <c r="G24" s="15"/>
      <c r="H24" s="16"/>
      <c r="I24" s="17"/>
      <c r="J24" s="17"/>
      <c r="K24" s="17"/>
      <c r="L24" s="17"/>
      <c r="M24" s="17"/>
    </row>
    <row r="25" spans="2:13" ht="15.75" outlineLevel="1">
      <c r="B25" s="72"/>
      <c r="C25" s="73" t="s">
        <v>37</v>
      </c>
      <c r="D25" s="12" t="s">
        <v>12</v>
      </c>
      <c r="E25" s="24">
        <v>0</v>
      </c>
      <c r="F25" s="15"/>
      <c r="G25" s="15"/>
      <c r="H25" s="16"/>
      <c r="I25" s="17"/>
      <c r="J25" s="17"/>
      <c r="K25" s="17"/>
      <c r="L25" s="17"/>
      <c r="M25" s="17"/>
    </row>
    <row r="26" spans="2:13" ht="19.5" customHeight="1" outlineLevel="1">
      <c r="B26" s="74">
        <v>1</v>
      </c>
      <c r="C26" s="50" t="str">
        <f>C151</f>
        <v>Мастика кровельная ТЕХНОНИКОЛЬ №21</v>
      </c>
      <c r="D26" s="12" t="s">
        <v>14</v>
      </c>
      <c r="E26" s="15">
        <f>((E24+E23+E22+E21+E20)*0.07+E25*0.07+E19*0.05)*1</f>
        <v>16.942500000000003</v>
      </c>
      <c r="F26" s="15">
        <f>F151</f>
        <v>341</v>
      </c>
      <c r="G26" s="15">
        <f aca="true" t="shared" si="1" ref="G26:G33">E26*F26</f>
        <v>5777.392500000001</v>
      </c>
      <c r="H26" s="16"/>
      <c r="I26" s="17"/>
      <c r="J26" s="17"/>
      <c r="K26" s="31"/>
      <c r="L26" s="17" t="s">
        <v>39</v>
      </c>
      <c r="M26" s="17"/>
    </row>
    <row r="27" spans="2:13" ht="15.75" outlineLevel="1">
      <c r="B27" s="74">
        <v>2</v>
      </c>
      <c r="C27" s="50" t="str">
        <f>C80</f>
        <v>Битумная черепица ТЕХНОНИКОЛЬ</v>
      </c>
      <c r="D27" s="12" t="s">
        <v>19</v>
      </c>
      <c r="E27" s="15">
        <f>E19*1.05</f>
        <v>187.10999999999999</v>
      </c>
      <c r="F27" s="15">
        <f>F80</f>
        <v>190</v>
      </c>
      <c r="G27" s="15">
        <f t="shared" si="1"/>
        <v>35550.899999999994</v>
      </c>
      <c r="H27" s="16"/>
      <c r="I27" s="17"/>
      <c r="J27" s="17"/>
      <c r="K27" s="17" t="s">
        <v>40</v>
      </c>
      <c r="L27" s="17" t="s">
        <v>42</v>
      </c>
      <c r="M27" s="17"/>
    </row>
    <row r="28" spans="2:13" ht="15.75" outlineLevel="1">
      <c r="B28" s="74">
        <v>3</v>
      </c>
      <c r="C28" s="50" t="str">
        <f>C182</f>
        <v>Подкладочный ковёр Акваизол ПЭ-1,5</v>
      </c>
      <c r="D28" s="12" t="s">
        <v>19</v>
      </c>
      <c r="E28" s="15">
        <f>E19*1.2</f>
        <v>213.83999999999997</v>
      </c>
      <c r="F28" s="15">
        <f>F182</f>
        <v>31</v>
      </c>
      <c r="G28" s="15">
        <f t="shared" si="1"/>
        <v>6629.039999999999</v>
      </c>
      <c r="H28" s="16"/>
      <c r="I28" s="17"/>
      <c r="J28" s="17"/>
      <c r="K28" s="17"/>
      <c r="L28" s="17" t="s">
        <v>43</v>
      </c>
      <c r="M28" s="17"/>
    </row>
    <row r="29" spans="2:13" ht="15.75" outlineLevel="1">
      <c r="B29" s="74">
        <v>4</v>
      </c>
      <c r="C29" s="159" t="str">
        <f>C154</f>
        <v>OSB 2500*1250*6 Kronospan</v>
      </c>
      <c r="D29" s="12" t="s">
        <v>20</v>
      </c>
      <c r="E29" s="15">
        <f>E19/(1.25*2.5)*1.07</f>
        <v>61.015679999999996</v>
      </c>
      <c r="F29" s="15">
        <f>F154</f>
        <v>200</v>
      </c>
      <c r="G29" s="15">
        <f t="shared" si="1"/>
        <v>12203.135999999999</v>
      </c>
      <c r="H29" s="16"/>
      <c r="I29" s="17"/>
      <c r="J29" s="17"/>
      <c r="K29" s="31"/>
      <c r="L29" s="17" t="s">
        <v>44</v>
      </c>
      <c r="M29" s="17"/>
    </row>
    <row r="30" spans="2:13" ht="15.75" outlineLevel="1">
      <c r="B30" s="74">
        <v>5</v>
      </c>
      <c r="C30" s="159" t="str">
        <f>C121</f>
        <v>Саморезы с пресс шайбой Ph Tr 4,2х25</v>
      </c>
      <c r="D30" s="12" t="s">
        <v>20</v>
      </c>
      <c r="E30" s="15">
        <f>(E19*5*22/3+(E24+E23+E22+E20)*5)*1.03</f>
        <v>7320.9825</v>
      </c>
      <c r="F30" s="15">
        <f>F121</f>
        <v>0.2053846153846154</v>
      </c>
      <c r="G30" s="15">
        <f t="shared" si="1"/>
        <v>1503.617175</v>
      </c>
      <c r="H30" s="16"/>
      <c r="I30" s="17"/>
      <c r="J30" s="17"/>
      <c r="K30" s="31"/>
      <c r="L30" s="17"/>
      <c r="M30" s="17"/>
    </row>
    <row r="31" spans="1:256" s="23" customFormat="1" ht="15.75" outlineLevel="1">
      <c r="A31" s="126" t="s">
        <v>232</v>
      </c>
      <c r="B31" s="74">
        <v>15</v>
      </c>
      <c r="C31" s="127" t="s">
        <v>233</v>
      </c>
      <c r="D31" s="128" t="s">
        <v>21</v>
      </c>
      <c r="E31" s="129">
        <f>(0.0625+0.08375)*K17</f>
        <v>172.80534375</v>
      </c>
      <c r="F31" s="129">
        <v>31.5</v>
      </c>
      <c r="G31" s="129">
        <f t="shared" si="1"/>
        <v>5443.368328125</v>
      </c>
      <c r="H31" s="16"/>
      <c r="I31" s="22"/>
      <c r="J31" s="22"/>
      <c r="K31" s="130"/>
      <c r="L31" s="22"/>
      <c r="M31" s="22"/>
      <c r="N31" s="16"/>
      <c r="IT31"/>
      <c r="IU31"/>
      <c r="IV31"/>
    </row>
    <row r="32" spans="1:256" s="23" customFormat="1" ht="15.75" outlineLevel="1">
      <c r="A32" s="126" t="s">
        <v>232</v>
      </c>
      <c r="B32" s="74">
        <v>15</v>
      </c>
      <c r="C32" s="127" t="s">
        <v>234</v>
      </c>
      <c r="D32" s="128" t="s">
        <v>21</v>
      </c>
      <c r="E32" s="129">
        <f>(0.0625+0.04125)*K17</f>
        <v>122.58840625000002</v>
      </c>
      <c r="F32" s="129">
        <v>39.72</v>
      </c>
      <c r="G32" s="129">
        <f t="shared" si="1"/>
        <v>4869.211496250001</v>
      </c>
      <c r="H32" s="16"/>
      <c r="I32" s="22"/>
      <c r="J32" s="22"/>
      <c r="K32" s="130"/>
      <c r="L32" s="22"/>
      <c r="M32" s="22"/>
      <c r="N32" s="16"/>
      <c r="IT32"/>
      <c r="IU32"/>
      <c r="IV32"/>
    </row>
    <row r="33" spans="1:256" s="23" customFormat="1" ht="15.75" outlineLevel="1">
      <c r="A33" s="126" t="s">
        <v>232</v>
      </c>
      <c r="B33" s="74">
        <v>15</v>
      </c>
      <c r="C33" s="127" t="s">
        <v>235</v>
      </c>
      <c r="D33" s="128" t="s">
        <v>21</v>
      </c>
      <c r="E33" s="129">
        <f>0.1*K17</f>
        <v>118.15750000000001</v>
      </c>
      <c r="F33" s="129">
        <v>70</v>
      </c>
      <c r="G33" s="129">
        <f t="shared" si="1"/>
        <v>8271.025000000001</v>
      </c>
      <c r="H33" s="16"/>
      <c r="I33" s="22"/>
      <c r="J33" s="22"/>
      <c r="K33" s="130"/>
      <c r="L33" s="22"/>
      <c r="M33" s="22"/>
      <c r="N33" s="16"/>
      <c r="IT33"/>
      <c r="IU33"/>
      <c r="IV33"/>
    </row>
    <row r="34" spans="1:13" s="38" customFormat="1" ht="15.75" outlineLevel="1">
      <c r="A34"/>
      <c r="B34" s="75"/>
      <c r="C34" s="56" t="s">
        <v>16</v>
      </c>
      <c r="D34" s="76"/>
      <c r="E34" s="77"/>
      <c r="F34" s="77"/>
      <c r="G34" s="68">
        <f>SUM(G19:G33)</f>
        <v>80247.69049937499</v>
      </c>
      <c r="H34" s="16"/>
      <c r="I34" s="18"/>
      <c r="J34" s="18"/>
      <c r="K34" s="18"/>
      <c r="L34" s="18"/>
      <c r="M34" s="18"/>
    </row>
    <row r="35" spans="2:13" ht="15.75" outlineLevel="1">
      <c r="B35" s="69"/>
      <c r="C35" s="65" t="s">
        <v>45</v>
      </c>
      <c r="D35" s="70"/>
      <c r="E35" s="66"/>
      <c r="F35" s="66"/>
      <c r="G35" s="26"/>
      <c r="H35" s="71"/>
      <c r="I35" s="34"/>
      <c r="J35" s="47" t="s">
        <v>236</v>
      </c>
      <c r="K35" s="34"/>
      <c r="L35" s="34"/>
      <c r="M35" s="34"/>
    </row>
    <row r="36" spans="2:13" ht="15.75" outlineLevel="1">
      <c r="B36" s="74">
        <v>1</v>
      </c>
      <c r="C36" s="50" t="str">
        <f>C198</f>
        <v>Соединительный уголок 90х105х105 мм.(на кобылки)</v>
      </c>
      <c r="D36" s="12" t="s">
        <v>13</v>
      </c>
      <c r="E36" s="15">
        <f>3*39</f>
        <v>117</v>
      </c>
      <c r="F36" s="15">
        <f>F198</f>
        <v>28.8</v>
      </c>
      <c r="G36" s="24">
        <f aca="true" t="shared" si="2" ref="G36:G44">E36*F36</f>
        <v>3369.6</v>
      </c>
      <c r="H36" s="22"/>
      <c r="I36" s="17"/>
      <c r="J36" s="17"/>
      <c r="K36" s="18"/>
      <c r="L36" s="17"/>
      <c r="M36" s="17"/>
    </row>
    <row r="37" spans="2:13" ht="15.75" outlineLevel="1">
      <c r="B37" s="74">
        <v>2</v>
      </c>
      <c r="C37" s="50" t="str">
        <f>C233</f>
        <v>Шпилька Ø 14х1000 мм</v>
      </c>
      <c r="D37" s="12" t="s">
        <v>20</v>
      </c>
      <c r="E37" s="15">
        <v>0</v>
      </c>
      <c r="F37" s="15">
        <f>F233</f>
        <v>37</v>
      </c>
      <c r="G37" s="24">
        <f t="shared" si="2"/>
        <v>0</v>
      </c>
      <c r="H37" s="22"/>
      <c r="I37" s="17"/>
      <c r="J37" s="17"/>
      <c r="K37" s="17" t="s">
        <v>46</v>
      </c>
      <c r="L37" s="17"/>
      <c r="M37" s="17"/>
    </row>
    <row r="38" spans="2:13" ht="15.75" outlineLevel="1">
      <c r="B38" s="74">
        <v>5</v>
      </c>
      <c r="C38" s="50" t="str">
        <f>C115</f>
        <v>Гайка М14. Для шпилек.</v>
      </c>
      <c r="D38" s="12" t="s">
        <v>20</v>
      </c>
      <c r="E38" s="15">
        <f>E37*4</f>
        <v>0</v>
      </c>
      <c r="F38" s="15">
        <f>F115</f>
        <v>2.5</v>
      </c>
      <c r="G38" s="24">
        <f t="shared" si="2"/>
        <v>0</v>
      </c>
      <c r="H38" s="22"/>
      <c r="I38" s="17"/>
      <c r="J38" s="29"/>
      <c r="K38" s="78" t="s">
        <v>47</v>
      </c>
      <c r="L38" s="17"/>
      <c r="M38" s="17"/>
    </row>
    <row r="39" spans="2:13" ht="15.75" outlineLevel="1">
      <c r="B39" s="74">
        <v>6</v>
      </c>
      <c r="C39" s="159" t="str">
        <f>C220</f>
        <v>Шайба плоская увеличенная DIN 440 (М8 24х2 мм.) Для шурупов и шпилек.</v>
      </c>
      <c r="D39" s="12" t="s">
        <v>20</v>
      </c>
      <c r="E39" s="15">
        <f>E44</f>
        <v>1092</v>
      </c>
      <c r="F39" s="15">
        <f>F220</f>
        <v>0.7</v>
      </c>
      <c r="G39" s="24">
        <f>E39*F39</f>
        <v>764.4</v>
      </c>
      <c r="H39" s="22"/>
      <c r="I39" s="17"/>
      <c r="J39" s="29"/>
      <c r="K39" s="78" t="s">
        <v>47</v>
      </c>
      <c r="L39" s="17"/>
      <c r="M39" s="17"/>
    </row>
    <row r="40" spans="2:13" ht="15.75" outlineLevel="1">
      <c r="B40" s="74">
        <v>6</v>
      </c>
      <c r="C40" s="159" t="str">
        <f>C222</f>
        <v>Шайба плоская увеличенная DIN 440 (М12 45х4 мм.) Для шурупов и шпилек.</v>
      </c>
      <c r="D40" s="12" t="s">
        <v>20</v>
      </c>
      <c r="E40" s="15">
        <f>E43</f>
        <v>20</v>
      </c>
      <c r="F40" s="15">
        <f>F222</f>
        <v>1.1</v>
      </c>
      <c r="G40" s="24">
        <f t="shared" si="2"/>
        <v>22</v>
      </c>
      <c r="H40" s="22"/>
      <c r="I40" s="17"/>
      <c r="J40" s="29"/>
      <c r="K40" s="78" t="s">
        <v>47</v>
      </c>
      <c r="L40" s="17"/>
      <c r="M40" s="17"/>
    </row>
    <row r="41" spans="2:13" ht="15.75" outlineLevel="1">
      <c r="B41" s="74">
        <v>9</v>
      </c>
      <c r="C41" s="13" t="str">
        <f>C189</f>
        <v>Саморез 5*40 Оцинкованный</v>
      </c>
      <c r="D41" s="12" t="s">
        <v>20</v>
      </c>
      <c r="E41" s="15">
        <f>E36*8+H15/0.8</f>
        <v>3307.375</v>
      </c>
      <c r="F41" s="15">
        <f>F189</f>
        <v>0.155</v>
      </c>
      <c r="G41" s="24">
        <f t="shared" si="2"/>
        <v>512.6431249999999</v>
      </c>
      <c r="H41" s="22"/>
      <c r="I41" s="17"/>
      <c r="J41" s="17"/>
      <c r="K41" s="18" t="s">
        <v>48</v>
      </c>
      <c r="L41" s="31"/>
      <c r="M41" s="31"/>
    </row>
    <row r="42" spans="2:13" ht="15.75" outlineLevel="1">
      <c r="B42" s="74">
        <v>9</v>
      </c>
      <c r="C42" s="13" t="str">
        <f>C190</f>
        <v>Саморез 3,5*35</v>
      </c>
      <c r="D42" s="12" t="s">
        <v>20</v>
      </c>
      <c r="E42" s="15">
        <f>E19*12</f>
        <v>2138.3999999999996</v>
      </c>
      <c r="F42" s="15">
        <f>F190</f>
        <v>0.155</v>
      </c>
      <c r="G42" s="24">
        <f t="shared" si="2"/>
        <v>331.45199999999994</v>
      </c>
      <c r="H42" s="22"/>
      <c r="I42" s="17"/>
      <c r="J42" s="17"/>
      <c r="K42" s="18" t="s">
        <v>48</v>
      </c>
      <c r="L42" s="31"/>
      <c r="M42" s="31"/>
    </row>
    <row r="43" spans="1:256" s="23" customFormat="1" ht="15.75" outlineLevel="1">
      <c r="A43" s="126" t="s">
        <v>232</v>
      </c>
      <c r="B43" s="74">
        <v>7</v>
      </c>
      <c r="C43" s="127" t="s">
        <v>250</v>
      </c>
      <c r="D43" s="131" t="s">
        <v>20</v>
      </c>
      <c r="E43" s="129">
        <f>20</f>
        <v>20</v>
      </c>
      <c r="F43" s="129">
        <f>8.5*1.5</f>
        <v>12.75</v>
      </c>
      <c r="G43" s="129">
        <f t="shared" si="2"/>
        <v>255</v>
      </c>
      <c r="H43" s="16"/>
      <c r="I43" s="22"/>
      <c r="J43" s="22"/>
      <c r="K43" s="16" t="s">
        <v>49</v>
      </c>
      <c r="L43" s="22" t="s">
        <v>237</v>
      </c>
      <c r="M43" s="22"/>
      <c r="N43" s="130"/>
      <c r="IT43"/>
      <c r="IU43"/>
      <c r="IV43"/>
    </row>
    <row r="44" spans="1:256" s="23" customFormat="1" ht="15.75" outlineLevel="1">
      <c r="A44" s="126" t="s">
        <v>232</v>
      </c>
      <c r="B44" s="74">
        <v>8</v>
      </c>
      <c r="C44" s="127" t="s">
        <v>251</v>
      </c>
      <c r="D44" s="131" t="s">
        <v>20</v>
      </c>
      <c r="E44" s="129">
        <f>28*39</f>
        <v>1092</v>
      </c>
      <c r="F44" s="129">
        <f>2.5*1.5</f>
        <v>3.75</v>
      </c>
      <c r="G44" s="129">
        <f t="shared" si="2"/>
        <v>4095</v>
      </c>
      <c r="H44" s="16"/>
      <c r="I44" s="22"/>
      <c r="J44" s="22"/>
      <c r="K44" s="16" t="s">
        <v>49</v>
      </c>
      <c r="L44" s="22" t="s">
        <v>237</v>
      </c>
      <c r="M44" s="22"/>
      <c r="N44" s="130"/>
      <c r="IT44"/>
      <c r="IU44"/>
      <c r="IV44"/>
    </row>
    <row r="45" spans="1:256" s="23" customFormat="1" ht="15.75" outlineLevel="1">
      <c r="A45" s="126" t="s">
        <v>232</v>
      </c>
      <c r="B45" s="74">
        <v>8</v>
      </c>
      <c r="C45" s="127" t="s">
        <v>249</v>
      </c>
      <c r="D45" s="131" t="s">
        <v>20</v>
      </c>
      <c r="E45" s="129">
        <f>8*39</f>
        <v>312</v>
      </c>
      <c r="F45" s="129">
        <f>2.5*1.5</f>
        <v>3.75</v>
      </c>
      <c r="G45" s="129">
        <f>E45*F45</f>
        <v>1170</v>
      </c>
      <c r="H45" s="16"/>
      <c r="I45" s="22"/>
      <c r="J45" s="22"/>
      <c r="K45" s="16" t="s">
        <v>49</v>
      </c>
      <c r="L45" s="22" t="s">
        <v>237</v>
      </c>
      <c r="M45" s="22"/>
      <c r="N45" s="130"/>
      <c r="IT45"/>
      <c r="IU45"/>
      <c r="IV45"/>
    </row>
    <row r="46" spans="1:256" s="23" customFormat="1" ht="15.75" outlineLevel="1">
      <c r="A46" s="126"/>
      <c r="B46" s="74">
        <v>9</v>
      </c>
      <c r="C46" s="13" t="s">
        <v>238</v>
      </c>
      <c r="D46" s="132"/>
      <c r="E46" s="24"/>
      <c r="F46" s="24"/>
      <c r="G46" s="24"/>
      <c r="H46" s="16"/>
      <c r="I46" s="22"/>
      <c r="J46" s="22"/>
      <c r="K46" s="16"/>
      <c r="L46" s="22"/>
      <c r="M46" s="22"/>
      <c r="N46" s="130"/>
      <c r="IT46"/>
      <c r="IU46"/>
      <c r="IV46"/>
    </row>
    <row r="47" spans="1:256" s="23" customFormat="1" ht="15.75" outlineLevel="1">
      <c r="A47" s="126"/>
      <c r="B47" s="74"/>
      <c r="C47" s="56" t="s">
        <v>16</v>
      </c>
      <c r="D47" s="76"/>
      <c r="E47" s="77"/>
      <c r="F47" s="77"/>
      <c r="G47" s="68">
        <f>SUM(G36:G46)</f>
        <v>10520.095125</v>
      </c>
      <c r="H47" s="16"/>
      <c r="I47" s="22"/>
      <c r="J47" s="22"/>
      <c r="K47" s="16"/>
      <c r="L47" s="22"/>
      <c r="M47" s="22"/>
      <c r="N47" s="130"/>
      <c r="IT47"/>
      <c r="IU47"/>
      <c r="IV47"/>
    </row>
    <row r="48" spans="1:256" s="23" customFormat="1" ht="15.75" outlineLevel="1">
      <c r="A48"/>
      <c r="B48" s="133"/>
      <c r="C48" s="19" t="s">
        <v>239</v>
      </c>
      <c r="D48" s="134"/>
      <c r="E48" s="82"/>
      <c r="F48" s="135"/>
      <c r="G48" s="136"/>
      <c r="H48" s="71"/>
      <c r="I48" s="71"/>
      <c r="J48" s="137" t="s">
        <v>240</v>
      </c>
      <c r="K48" s="71"/>
      <c r="L48" s="71"/>
      <c r="M48" s="71"/>
      <c r="N48" s="71"/>
      <c r="IT48"/>
      <c r="IU48"/>
      <c r="IV48"/>
    </row>
    <row r="49" spans="1:256" s="23" customFormat="1" ht="15" customHeight="1" outlineLevel="1">
      <c r="A49" s="126" t="s">
        <v>232</v>
      </c>
      <c r="B49" s="74">
        <v>1</v>
      </c>
      <c r="C49" s="13" t="str">
        <f>C179</f>
        <v>Песок (местный)</v>
      </c>
      <c r="D49" s="161" t="str">
        <f>D179</f>
        <v>т</v>
      </c>
      <c r="E49" s="14">
        <f>E54*(0.4*0.4-0.2*0.2*0.7)*0.78</f>
        <v>2.0592000000000006</v>
      </c>
      <c r="F49" s="15">
        <f>F179</f>
        <v>150</v>
      </c>
      <c r="G49" s="24">
        <f>E49*F49</f>
        <v>308.8800000000001</v>
      </c>
      <c r="H49" s="22"/>
      <c r="I49" s="22"/>
      <c r="J49" s="22"/>
      <c r="K49" s="16" t="s">
        <v>241</v>
      </c>
      <c r="L49" s="22"/>
      <c r="M49" s="22"/>
      <c r="N49" s="22"/>
      <c r="IT49"/>
      <c r="IU49"/>
      <c r="IV49"/>
    </row>
    <row r="50" spans="1:256" s="23" customFormat="1" ht="15" customHeight="1" outlineLevel="1">
      <c r="A50" s="126" t="s">
        <v>232</v>
      </c>
      <c r="B50" s="74">
        <v>1</v>
      </c>
      <c r="C50" s="13" t="str">
        <f>C219</f>
        <v>Цемент М400</v>
      </c>
      <c r="D50" s="161" t="str">
        <f>D219</f>
        <v>т</v>
      </c>
      <c r="E50" s="14">
        <f>E54*(0.4*0.4-0.2*0.2*0.7)*0.22</f>
        <v>0.5808000000000001</v>
      </c>
      <c r="F50" s="15">
        <f>F219</f>
        <v>2520</v>
      </c>
      <c r="G50" s="24">
        <f>E50*F50</f>
        <v>1463.6160000000002</v>
      </c>
      <c r="H50" s="22"/>
      <c r="I50" s="22"/>
      <c r="J50" s="22"/>
      <c r="K50" s="16" t="s">
        <v>241</v>
      </c>
      <c r="L50" s="22"/>
      <c r="M50" s="22"/>
      <c r="N50" s="22"/>
      <c r="IT50"/>
      <c r="IU50"/>
      <c r="IV50"/>
    </row>
    <row r="51" spans="1:256" s="23" customFormat="1" ht="15" customHeight="1" outlineLevel="1">
      <c r="A51" s="126" t="s">
        <v>232</v>
      </c>
      <c r="B51" s="74">
        <v>1</v>
      </c>
      <c r="C51" s="13" t="str">
        <f>C235</f>
        <v>Щебень фр. 20-70</v>
      </c>
      <c r="D51" s="161" t="str">
        <f>D235</f>
        <v>т</v>
      </c>
      <c r="E51" s="14">
        <f>E54*(0.4*0.4-0.2*0.2*0.7)*1.25</f>
        <v>3.3000000000000007</v>
      </c>
      <c r="F51" s="15">
        <f>F235</f>
        <v>650</v>
      </c>
      <c r="G51" s="24">
        <f>E51*F51</f>
        <v>2145.0000000000005</v>
      </c>
      <c r="H51" s="22"/>
      <c r="I51" s="22"/>
      <c r="J51" s="22"/>
      <c r="K51" s="16" t="s">
        <v>241</v>
      </c>
      <c r="L51" s="22"/>
      <c r="M51" s="22"/>
      <c r="N51" s="22"/>
      <c r="IT51"/>
      <c r="IU51"/>
      <c r="IV51"/>
    </row>
    <row r="52" spans="2:14" s="138" customFormat="1" ht="15.75" outlineLevel="1">
      <c r="B52" s="79"/>
      <c r="C52" s="125" t="s">
        <v>16</v>
      </c>
      <c r="D52" s="80"/>
      <c r="E52" s="139"/>
      <c r="F52" s="81"/>
      <c r="G52" s="67">
        <f>SUM(G49:G51)</f>
        <v>3917.496000000001</v>
      </c>
      <c r="H52" s="25"/>
      <c r="I52" s="25"/>
      <c r="J52" s="25"/>
      <c r="K52" s="25"/>
      <c r="L52" s="25"/>
      <c r="M52" s="25"/>
      <c r="N52" s="25"/>
    </row>
    <row r="53" spans="2:252" ht="15.75">
      <c r="B53" s="83"/>
      <c r="C53" s="27" t="s">
        <v>17</v>
      </c>
      <c r="D53" s="28"/>
      <c r="E53" s="33"/>
      <c r="F53" s="24"/>
      <c r="G53" s="32"/>
      <c r="H53" s="21"/>
      <c r="I53" s="144"/>
      <c r="J53" s="144"/>
      <c r="K53" s="144"/>
      <c r="L53" s="144"/>
      <c r="M53" s="145"/>
      <c r="IR53" s="3"/>
    </row>
    <row r="54" spans="2:252" ht="15.75">
      <c r="B54" s="74">
        <v>1</v>
      </c>
      <c r="C54" s="160" t="s">
        <v>255</v>
      </c>
      <c r="D54" s="146" t="s">
        <v>20</v>
      </c>
      <c r="E54" s="24">
        <v>20</v>
      </c>
      <c r="F54" s="24">
        <v>500</v>
      </c>
      <c r="G54" s="24">
        <f aca="true" t="shared" si="3" ref="G54:G59">E54*F54</f>
        <v>10000</v>
      </c>
      <c r="H54" s="84"/>
      <c r="I54" s="17"/>
      <c r="J54" s="17"/>
      <c r="K54" s="17"/>
      <c r="L54" s="17"/>
      <c r="M54" s="147"/>
      <c r="IR54" s="3"/>
    </row>
    <row r="55" spans="2:252" ht="15.75">
      <c r="B55" s="74">
        <v>3</v>
      </c>
      <c r="C55" s="13" t="s">
        <v>243</v>
      </c>
      <c r="D55" s="146" t="s">
        <v>19</v>
      </c>
      <c r="E55" s="24">
        <f>$E$19</f>
        <v>178.2</v>
      </c>
      <c r="F55" s="24">
        <v>120</v>
      </c>
      <c r="G55" s="24">
        <f t="shared" si="3"/>
        <v>21384</v>
      </c>
      <c r="H55" s="84"/>
      <c r="I55" s="17"/>
      <c r="J55" s="17"/>
      <c r="K55" s="17"/>
      <c r="L55" s="17"/>
      <c r="M55" s="147"/>
      <c r="IR55" s="3"/>
    </row>
    <row r="56" spans="2:252" ht="15.75">
      <c r="B56" s="74">
        <v>4</v>
      </c>
      <c r="C56" s="13" t="s">
        <v>244</v>
      </c>
      <c r="D56" s="146" t="s">
        <v>19</v>
      </c>
      <c r="E56" s="24">
        <f>$E$19</f>
        <v>178.2</v>
      </c>
      <c r="F56" s="24">
        <v>200</v>
      </c>
      <c r="G56" s="24">
        <f t="shared" si="3"/>
        <v>35640</v>
      </c>
      <c r="H56" s="84"/>
      <c r="I56" s="17"/>
      <c r="J56" s="17"/>
      <c r="K56" s="17"/>
      <c r="L56" s="17"/>
      <c r="M56" s="147"/>
      <c r="IR56" s="3"/>
    </row>
    <row r="57" spans="2:252" ht="15.75">
      <c r="B57" s="74">
        <v>5</v>
      </c>
      <c r="C57" s="13" t="s">
        <v>245</v>
      </c>
      <c r="D57" s="146" t="s">
        <v>19</v>
      </c>
      <c r="E57" s="24">
        <f>$E$19</f>
        <v>178.2</v>
      </c>
      <c r="F57" s="24">
        <v>35</v>
      </c>
      <c r="G57" s="24">
        <f t="shared" si="3"/>
        <v>6237</v>
      </c>
      <c r="H57" s="84"/>
      <c r="I57" s="17"/>
      <c r="J57" s="17"/>
      <c r="K57" s="17"/>
      <c r="L57" s="17"/>
      <c r="M57" s="147"/>
      <c r="IR57" s="3"/>
    </row>
    <row r="58" spans="2:252" ht="15.75">
      <c r="B58" s="74">
        <v>6</v>
      </c>
      <c r="C58" s="13" t="s">
        <v>246</v>
      </c>
      <c r="D58" s="146" t="s">
        <v>19</v>
      </c>
      <c r="E58" s="24">
        <f>$E$19</f>
        <v>178.2</v>
      </c>
      <c r="F58" s="24">
        <v>20</v>
      </c>
      <c r="G58" s="24">
        <f t="shared" si="3"/>
        <v>3564</v>
      </c>
      <c r="H58" s="84"/>
      <c r="I58" s="17"/>
      <c r="J58" s="17"/>
      <c r="K58" s="17"/>
      <c r="L58" s="17"/>
      <c r="M58" s="147"/>
      <c r="IR58" s="3"/>
    </row>
    <row r="59" spans="2:252" ht="15.75">
      <c r="B59" s="74">
        <v>7</v>
      </c>
      <c r="C59" s="13" t="s">
        <v>247</v>
      </c>
      <c r="D59" s="146" t="s">
        <v>19</v>
      </c>
      <c r="E59" s="24">
        <f>$E$19</f>
        <v>178.2</v>
      </c>
      <c r="F59" s="24">
        <v>50</v>
      </c>
      <c r="G59" s="24">
        <f t="shared" si="3"/>
        <v>8910</v>
      </c>
      <c r="H59" s="84"/>
      <c r="I59" s="17"/>
      <c r="J59" s="17"/>
      <c r="K59" s="17"/>
      <c r="L59" s="17"/>
      <c r="M59" s="147"/>
      <c r="IR59" s="3"/>
    </row>
    <row r="60" spans="2:252" ht="15.75">
      <c r="B60" s="148"/>
      <c r="C60" s="149" t="s">
        <v>18</v>
      </c>
      <c r="D60" s="150"/>
      <c r="E60" s="151"/>
      <c r="F60" s="152"/>
      <c r="G60" s="153">
        <f>SUM(G54:G59)</f>
        <v>85735</v>
      </c>
      <c r="H60" s="154"/>
      <c r="I60" s="144"/>
      <c r="J60" s="144"/>
      <c r="K60" s="144"/>
      <c r="L60" s="144"/>
      <c r="M60" s="145"/>
      <c r="IR60" s="3"/>
    </row>
    <row r="61" spans="2:13" ht="24" customHeight="1">
      <c r="B61" s="35"/>
      <c r="C61" s="36" t="s">
        <v>248</v>
      </c>
      <c r="D61" s="35"/>
      <c r="E61" s="155"/>
      <c r="F61" s="156"/>
      <c r="G61" s="157">
        <f>G52+G47+G34+G17+G60</f>
        <v>258268.819124375</v>
      </c>
      <c r="H61" s="158"/>
      <c r="I61" s="37"/>
      <c r="J61" s="37"/>
      <c r="K61" s="37"/>
      <c r="L61" s="37"/>
      <c r="M61" s="37"/>
    </row>
    <row r="62" spans="2:252" ht="28.5" customHeight="1" outlineLevel="1">
      <c r="B62" s="86"/>
      <c r="C62" s="87" t="s">
        <v>50</v>
      </c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2:9" ht="12.75" outlineLevel="1">
      <c r="B63" s="1">
        <v>1</v>
      </c>
      <c r="C63" s="89" t="s">
        <v>51</v>
      </c>
      <c r="D63" s="90" t="s">
        <v>14</v>
      </c>
      <c r="E63" s="91">
        <f aca="true" t="shared" si="4" ref="E63:E94">SUMIF($C$5:$C$52,C63,$E$5:$E$52)</f>
        <v>0</v>
      </c>
      <c r="F63" s="141">
        <v>60</v>
      </c>
      <c r="G63" s="92">
        <f>E63*F63</f>
        <v>0</v>
      </c>
      <c r="H63" s="93"/>
      <c r="I63" s="94"/>
    </row>
    <row r="64" spans="2:9" ht="12.75" outlineLevel="1">
      <c r="B64" s="1">
        <v>2</v>
      </c>
      <c r="C64" s="89" t="s">
        <v>52</v>
      </c>
      <c r="D64" s="95" t="s">
        <v>15</v>
      </c>
      <c r="E64" s="91">
        <f t="shared" si="4"/>
        <v>0</v>
      </c>
      <c r="F64" s="141">
        <v>28800</v>
      </c>
      <c r="G64" s="96">
        <f>F64*H64</f>
        <v>0</v>
      </c>
      <c r="H64" s="97">
        <f>E64*0.00044</f>
        <v>0</v>
      </c>
      <c r="I64" s="94"/>
    </row>
    <row r="65" spans="2:9" ht="12.75" outlineLevel="1">
      <c r="B65" s="1">
        <v>3</v>
      </c>
      <c r="C65" s="89" t="s">
        <v>53</v>
      </c>
      <c r="D65" s="95" t="s">
        <v>15</v>
      </c>
      <c r="E65" s="91">
        <f t="shared" si="4"/>
        <v>0</v>
      </c>
      <c r="F65" s="141">
        <v>18150</v>
      </c>
      <c r="G65" s="96">
        <f>F65*H65</f>
        <v>0</v>
      </c>
      <c r="H65" s="97">
        <f>E65*0.00044</f>
        <v>0</v>
      </c>
      <c r="I65" s="94"/>
    </row>
    <row r="66" spans="2:9" ht="12.75" outlineLevel="1">
      <c r="B66" s="1">
        <v>4</v>
      </c>
      <c r="C66" s="89" t="s">
        <v>54</v>
      </c>
      <c r="D66" s="95" t="s">
        <v>15</v>
      </c>
      <c r="E66" s="91">
        <f t="shared" si="4"/>
        <v>0</v>
      </c>
      <c r="F66" s="141">
        <v>20250</v>
      </c>
      <c r="G66" s="92">
        <f>F66*H66</f>
        <v>0</v>
      </c>
      <c r="H66" s="97">
        <f>E66*0.00062</f>
        <v>0</v>
      </c>
      <c r="I66" s="94"/>
    </row>
    <row r="67" spans="2:8" ht="12.75" outlineLevel="1">
      <c r="B67" s="1">
        <v>5</v>
      </c>
      <c r="C67" s="89" t="s">
        <v>55</v>
      </c>
      <c r="D67" s="95" t="s">
        <v>15</v>
      </c>
      <c r="E67" s="91">
        <f t="shared" si="4"/>
        <v>0</v>
      </c>
      <c r="F67" s="141">
        <v>18230</v>
      </c>
      <c r="G67" s="92">
        <f>H67*F67</f>
        <v>0</v>
      </c>
      <c r="H67" s="97">
        <f>E67*0.00062</f>
        <v>0</v>
      </c>
    </row>
    <row r="68" spans="2:10" ht="12.75" outlineLevel="1">
      <c r="B68" s="1">
        <v>6</v>
      </c>
      <c r="C68" s="89" t="s">
        <v>56</v>
      </c>
      <c r="D68" s="95" t="s">
        <v>15</v>
      </c>
      <c r="E68" s="91">
        <f t="shared" si="4"/>
        <v>0</v>
      </c>
      <c r="F68" s="141">
        <v>17870</v>
      </c>
      <c r="G68" s="92">
        <f>H68*F68</f>
        <v>0</v>
      </c>
      <c r="H68" s="97">
        <f>E68*0.00089</f>
        <v>0</v>
      </c>
      <c r="I68" s="98"/>
      <c r="J68" s="99"/>
    </row>
    <row r="69" spans="2:9" ht="12.75" outlineLevel="1">
      <c r="B69" s="1">
        <v>7</v>
      </c>
      <c r="C69" s="89" t="s">
        <v>57</v>
      </c>
      <c r="D69" s="95" t="s">
        <v>15</v>
      </c>
      <c r="E69" s="91">
        <f t="shared" si="4"/>
        <v>0</v>
      </c>
      <c r="F69" s="141">
        <v>19850</v>
      </c>
      <c r="G69" s="92">
        <f>F69*H69</f>
        <v>0</v>
      </c>
      <c r="H69" s="97">
        <f>E69*0.00122</f>
        <v>0</v>
      </c>
      <c r="I69" s="94"/>
    </row>
    <row r="70" spans="2:9" ht="12.75" outlineLevel="1">
      <c r="B70" s="1">
        <v>8</v>
      </c>
      <c r="C70" s="89" t="s">
        <v>58</v>
      </c>
      <c r="D70" s="95" t="s">
        <v>15</v>
      </c>
      <c r="E70" s="91">
        <f t="shared" si="4"/>
        <v>0</v>
      </c>
      <c r="F70" s="141">
        <v>19850</v>
      </c>
      <c r="G70" s="92">
        <f>H70*F70</f>
        <v>0</v>
      </c>
      <c r="H70" s="97">
        <f>E70*0.0016</f>
        <v>0</v>
      </c>
      <c r="I70" s="94"/>
    </row>
    <row r="71" spans="2:9" ht="12.75" outlineLevel="1">
      <c r="B71" s="1">
        <v>9</v>
      </c>
      <c r="C71" s="89" t="s">
        <v>59</v>
      </c>
      <c r="D71" s="95" t="s">
        <v>15</v>
      </c>
      <c r="E71" s="91">
        <f t="shared" si="4"/>
        <v>0</v>
      </c>
      <c r="F71" s="141">
        <v>19850</v>
      </c>
      <c r="G71" s="92">
        <f>H71*F71</f>
        <v>0</v>
      </c>
      <c r="H71" s="97">
        <f>E71*0.002</f>
        <v>0</v>
      </c>
      <c r="I71" s="94"/>
    </row>
    <row r="72" spans="2:9" ht="12.75" outlineLevel="1">
      <c r="B72" s="1">
        <v>10</v>
      </c>
      <c r="C72" s="89" t="s">
        <v>60</v>
      </c>
      <c r="D72" s="95" t="s">
        <v>15</v>
      </c>
      <c r="E72" s="91">
        <f t="shared" si="4"/>
        <v>0</v>
      </c>
      <c r="F72" s="141">
        <v>19850</v>
      </c>
      <c r="G72" s="92">
        <f>H72*F72</f>
        <v>0</v>
      </c>
      <c r="H72" s="97">
        <f>E72*0.00247</f>
        <v>0</v>
      </c>
      <c r="I72" s="94"/>
    </row>
    <row r="73" spans="2:9" ht="12.75" outlineLevel="1">
      <c r="B73" s="1">
        <v>11</v>
      </c>
      <c r="C73" s="89" t="s">
        <v>61</v>
      </c>
      <c r="D73" s="95" t="s">
        <v>15</v>
      </c>
      <c r="E73" s="91">
        <f t="shared" si="4"/>
        <v>0</v>
      </c>
      <c r="F73" s="141">
        <v>19990</v>
      </c>
      <c r="G73" s="92">
        <f>H73*F73</f>
        <v>0</v>
      </c>
      <c r="H73" s="97">
        <f>E73*0.00298</f>
        <v>0</v>
      </c>
      <c r="I73" s="94"/>
    </row>
    <row r="74" spans="2:9" ht="12.75" outlineLevel="1">
      <c r="B74" s="1">
        <v>12</v>
      </c>
      <c r="C74" s="89" t="s">
        <v>62</v>
      </c>
      <c r="D74" s="95" t="s">
        <v>15</v>
      </c>
      <c r="E74" s="91">
        <f t="shared" si="4"/>
        <v>0</v>
      </c>
      <c r="F74" s="141">
        <v>19990</v>
      </c>
      <c r="G74" s="92">
        <f>H74*F74</f>
        <v>0</v>
      </c>
      <c r="H74" s="97">
        <f>E74*0.00385</f>
        <v>0</v>
      </c>
      <c r="I74" s="94"/>
    </row>
    <row r="75" spans="2:9" ht="12.75" outlineLevel="1">
      <c r="B75" s="1">
        <v>13</v>
      </c>
      <c r="C75" s="89" t="s">
        <v>63</v>
      </c>
      <c r="D75" s="95" t="s">
        <v>15</v>
      </c>
      <c r="E75" s="91">
        <f t="shared" si="4"/>
        <v>0</v>
      </c>
      <c r="F75" s="141">
        <v>19850</v>
      </c>
      <c r="G75" s="92">
        <f>F75*H75</f>
        <v>0</v>
      </c>
      <c r="H75" s="97">
        <f>E75*0.00483</f>
        <v>0</v>
      </c>
      <c r="I75" s="94"/>
    </row>
    <row r="76" spans="2:9" ht="12.75" outlineLevel="1">
      <c r="B76" s="1">
        <v>14</v>
      </c>
      <c r="C76" s="100" t="s">
        <v>64</v>
      </c>
      <c r="D76" s="101" t="s">
        <v>13</v>
      </c>
      <c r="E76" s="91">
        <f t="shared" si="4"/>
        <v>0</v>
      </c>
      <c r="F76" s="141">
        <v>205.74</v>
      </c>
      <c r="G76" s="92">
        <f aca="true" t="shared" si="5" ref="G76:G81">E76*F76</f>
        <v>0</v>
      </c>
      <c r="H76" s="93"/>
      <c r="I76" s="94"/>
    </row>
    <row r="77" spans="2:9" ht="12.75" outlineLevel="1">
      <c r="B77" s="1">
        <v>15</v>
      </c>
      <c r="C77" s="100" t="s">
        <v>65</v>
      </c>
      <c r="D77" s="102" t="s">
        <v>13</v>
      </c>
      <c r="E77" s="91">
        <f t="shared" si="4"/>
        <v>0</v>
      </c>
      <c r="F77" s="141">
        <v>160</v>
      </c>
      <c r="G77" s="92">
        <f t="shared" si="5"/>
        <v>0</v>
      </c>
      <c r="H77" s="93"/>
      <c r="I77" s="94"/>
    </row>
    <row r="78" spans="2:9" ht="12.75" outlineLevel="1">
      <c r="B78" s="1">
        <v>16</v>
      </c>
      <c r="C78" s="89" t="s">
        <v>66</v>
      </c>
      <c r="D78" s="103" t="s">
        <v>11</v>
      </c>
      <c r="E78" s="91">
        <f t="shared" si="4"/>
        <v>0</v>
      </c>
      <c r="F78" s="141">
        <v>2044</v>
      </c>
      <c r="G78" s="92">
        <f t="shared" si="5"/>
        <v>0</v>
      </c>
      <c r="H78" s="93"/>
      <c r="I78" s="94"/>
    </row>
    <row r="79" spans="2:9" ht="12.75" outlineLevel="1">
      <c r="B79" s="1">
        <v>17</v>
      </c>
      <c r="C79" s="89" t="s">
        <v>67</v>
      </c>
      <c r="D79" s="95" t="s">
        <v>11</v>
      </c>
      <c r="E79" s="91">
        <f t="shared" si="4"/>
        <v>0</v>
      </c>
      <c r="F79" s="141">
        <v>2312</v>
      </c>
      <c r="G79" s="92">
        <f t="shared" si="5"/>
        <v>0</v>
      </c>
      <c r="H79" s="93"/>
      <c r="I79" s="94"/>
    </row>
    <row r="80" spans="2:9" ht="12.75" outlineLevel="1">
      <c r="B80" s="1">
        <v>18</v>
      </c>
      <c r="C80" s="89" t="s">
        <v>68</v>
      </c>
      <c r="D80" s="101" t="s">
        <v>19</v>
      </c>
      <c r="E80" s="91">
        <f t="shared" si="4"/>
        <v>187.10999999999999</v>
      </c>
      <c r="F80" s="141">
        <v>190</v>
      </c>
      <c r="G80" s="92">
        <f t="shared" si="5"/>
        <v>35550.899999999994</v>
      </c>
      <c r="H80" s="93"/>
      <c r="I80" s="94"/>
    </row>
    <row r="81" spans="2:9" ht="12.75" outlineLevel="1">
      <c r="B81" s="1">
        <v>19</v>
      </c>
      <c r="C81" s="89" t="s">
        <v>69</v>
      </c>
      <c r="D81" s="102" t="s">
        <v>41</v>
      </c>
      <c r="E81" s="91">
        <f t="shared" si="4"/>
        <v>0</v>
      </c>
      <c r="F81" s="141">
        <v>878</v>
      </c>
      <c r="G81" s="92">
        <f t="shared" si="5"/>
        <v>0</v>
      </c>
      <c r="H81" s="93"/>
      <c r="I81" s="94"/>
    </row>
    <row r="82" spans="2:9" ht="12.75" outlineLevel="1">
      <c r="B82" s="1">
        <v>20</v>
      </c>
      <c r="C82" s="89" t="s">
        <v>70</v>
      </c>
      <c r="D82" s="104" t="s">
        <v>13</v>
      </c>
      <c r="E82" s="91">
        <f t="shared" si="4"/>
        <v>0</v>
      </c>
      <c r="F82" s="141">
        <v>3650</v>
      </c>
      <c r="G82" s="92">
        <f aca="true" t="shared" si="6" ref="G82:G89">I82*F82</f>
        <v>0</v>
      </c>
      <c r="H82" s="105" t="s">
        <v>11</v>
      </c>
      <c r="I82" s="106">
        <f>E82*0.05*0.05*4</f>
        <v>0</v>
      </c>
    </row>
    <row r="83" spans="2:9" ht="12.75" outlineLevel="1">
      <c r="B83" s="1">
        <v>21</v>
      </c>
      <c r="C83" s="89" t="s">
        <v>71</v>
      </c>
      <c r="D83" s="104" t="s">
        <v>13</v>
      </c>
      <c r="E83" s="91">
        <f t="shared" si="4"/>
        <v>0</v>
      </c>
      <c r="F83" s="141">
        <v>3650</v>
      </c>
      <c r="G83" s="92">
        <f t="shared" si="6"/>
        <v>0</v>
      </c>
      <c r="H83" s="105" t="s">
        <v>11</v>
      </c>
      <c r="I83" s="107">
        <f>E83*0.05*0.1*4</f>
        <v>0</v>
      </c>
    </row>
    <row r="84" spans="2:9" ht="12.75" outlineLevel="1">
      <c r="B84" s="1">
        <v>22</v>
      </c>
      <c r="C84" s="89" t="s">
        <v>72</v>
      </c>
      <c r="D84" s="104" t="s">
        <v>13</v>
      </c>
      <c r="E84" s="91">
        <f t="shared" si="4"/>
        <v>0</v>
      </c>
      <c r="F84" s="141">
        <v>3650</v>
      </c>
      <c r="G84" s="92">
        <f t="shared" si="6"/>
        <v>0</v>
      </c>
      <c r="H84" s="105" t="s">
        <v>11</v>
      </c>
      <c r="I84" s="107">
        <f>E84*0.05*0.1*4.5</f>
        <v>0</v>
      </c>
    </row>
    <row r="85" spans="2:9" ht="12.75" outlineLevel="1">
      <c r="B85" s="1">
        <v>23</v>
      </c>
      <c r="C85" s="89" t="s">
        <v>73</v>
      </c>
      <c r="D85" s="104" t="s">
        <v>13</v>
      </c>
      <c r="E85" s="91">
        <f t="shared" si="4"/>
        <v>0</v>
      </c>
      <c r="F85" s="141">
        <v>4000</v>
      </c>
      <c r="G85" s="92">
        <f t="shared" si="6"/>
        <v>0</v>
      </c>
      <c r="H85" s="105" t="s">
        <v>11</v>
      </c>
      <c r="I85" s="107">
        <f>E85*0.05*0.1*6</f>
        <v>0</v>
      </c>
    </row>
    <row r="86" spans="2:9" ht="12.75" outlineLevel="1">
      <c r="B86" s="1">
        <v>24</v>
      </c>
      <c r="C86" s="89" t="s">
        <v>74</v>
      </c>
      <c r="D86" s="104" t="s">
        <v>13</v>
      </c>
      <c r="E86" s="91">
        <f t="shared" si="4"/>
        <v>0</v>
      </c>
      <c r="F86" s="141">
        <v>3650</v>
      </c>
      <c r="G86" s="92">
        <f t="shared" si="6"/>
        <v>0</v>
      </c>
      <c r="H86" s="105" t="s">
        <v>11</v>
      </c>
      <c r="I86" s="107">
        <f>E86*0.05*0.15*4</f>
        <v>0</v>
      </c>
    </row>
    <row r="87" spans="2:9" ht="12.75" outlineLevel="1">
      <c r="B87" s="1">
        <v>25</v>
      </c>
      <c r="C87" s="89" t="s">
        <v>75</v>
      </c>
      <c r="D87" s="104" t="s">
        <v>13</v>
      </c>
      <c r="E87" s="91">
        <f t="shared" si="4"/>
        <v>0</v>
      </c>
      <c r="F87" s="141">
        <v>3650</v>
      </c>
      <c r="G87" s="92">
        <f t="shared" si="6"/>
        <v>0</v>
      </c>
      <c r="H87" s="105" t="s">
        <v>11</v>
      </c>
      <c r="I87" s="107">
        <f>E87*0.05*0.15*4.5</f>
        <v>0</v>
      </c>
    </row>
    <row r="88" spans="2:9" ht="12.75" outlineLevel="1">
      <c r="B88" s="1">
        <v>26</v>
      </c>
      <c r="C88" s="89" t="s">
        <v>76</v>
      </c>
      <c r="D88" s="104" t="s">
        <v>13</v>
      </c>
      <c r="E88" s="91">
        <f t="shared" si="4"/>
        <v>0</v>
      </c>
      <c r="F88" s="141">
        <v>4000</v>
      </c>
      <c r="G88" s="92">
        <f t="shared" si="6"/>
        <v>0</v>
      </c>
      <c r="H88" s="105" t="s">
        <v>11</v>
      </c>
      <c r="I88" s="107">
        <f>E88*0.05*0.15*6</f>
        <v>0</v>
      </c>
    </row>
    <row r="89" spans="2:9" ht="12.75" outlineLevel="1">
      <c r="B89" s="1">
        <v>27</v>
      </c>
      <c r="C89" s="89" t="s">
        <v>77</v>
      </c>
      <c r="D89" s="104" t="s">
        <v>13</v>
      </c>
      <c r="E89" s="91">
        <f t="shared" si="4"/>
        <v>39</v>
      </c>
      <c r="F89" s="141">
        <v>3650</v>
      </c>
      <c r="G89" s="92">
        <f t="shared" si="6"/>
        <v>5694.000000000001</v>
      </c>
      <c r="H89" s="105" t="s">
        <v>11</v>
      </c>
      <c r="I89" s="107">
        <f>E89*0.05*0.2*4</f>
        <v>1.5600000000000003</v>
      </c>
    </row>
    <row r="90" spans="2:9" ht="12.75" outlineLevel="1">
      <c r="B90" s="1">
        <v>28</v>
      </c>
      <c r="C90" s="89" t="s">
        <v>78</v>
      </c>
      <c r="D90" s="104" t="s">
        <v>13</v>
      </c>
      <c r="E90" s="91">
        <f t="shared" si="4"/>
        <v>78</v>
      </c>
      <c r="F90" s="141">
        <v>3650</v>
      </c>
      <c r="G90" s="92">
        <f>F90*I90</f>
        <v>12811.500000000002</v>
      </c>
      <c r="H90" s="105" t="s">
        <v>11</v>
      </c>
      <c r="I90" s="107">
        <f>E90*0.05*0.2*4.5</f>
        <v>3.5100000000000007</v>
      </c>
    </row>
    <row r="91" spans="2:9" ht="12.75" outlineLevel="1">
      <c r="B91" s="1">
        <v>29</v>
      </c>
      <c r="C91" s="89" t="s">
        <v>79</v>
      </c>
      <c r="D91" s="104" t="s">
        <v>13</v>
      </c>
      <c r="E91" s="91">
        <f t="shared" si="4"/>
        <v>107</v>
      </c>
      <c r="F91" s="141">
        <v>4000</v>
      </c>
      <c r="G91" s="92">
        <f>F91*I91</f>
        <v>25680</v>
      </c>
      <c r="H91" s="105" t="s">
        <v>11</v>
      </c>
      <c r="I91" s="107">
        <f>E91*0.05*0.2*6</f>
        <v>6.42</v>
      </c>
    </row>
    <row r="92" spans="2:9" ht="12.75" outlineLevel="1">
      <c r="B92" s="1">
        <v>30</v>
      </c>
      <c r="C92" s="89" t="s">
        <v>80</v>
      </c>
      <c r="D92" s="104" t="s">
        <v>13</v>
      </c>
      <c r="E92" s="91">
        <f t="shared" si="4"/>
        <v>8</v>
      </c>
      <c r="F92" s="141">
        <v>3650</v>
      </c>
      <c r="G92" s="92">
        <f aca="true" t="shared" si="7" ref="G92:G99">I92*F92</f>
        <v>1168.0000000000002</v>
      </c>
      <c r="H92" s="105" t="s">
        <v>11</v>
      </c>
      <c r="I92" s="107">
        <f>E92*0.1*0.1*4</f>
        <v>0.32000000000000006</v>
      </c>
    </row>
    <row r="93" spans="2:9" ht="12.75" outlineLevel="1">
      <c r="B93" s="1">
        <v>31</v>
      </c>
      <c r="C93" s="89" t="s">
        <v>81</v>
      </c>
      <c r="D93" s="104" t="s">
        <v>13</v>
      </c>
      <c r="E93" s="91">
        <f t="shared" si="4"/>
        <v>0</v>
      </c>
      <c r="F93" s="141">
        <v>3650</v>
      </c>
      <c r="G93" s="92">
        <f t="shared" si="7"/>
        <v>0</v>
      </c>
      <c r="H93" s="105" t="s">
        <v>11</v>
      </c>
      <c r="I93" s="107">
        <f>E93*0.1*0.1*4.5</f>
        <v>0</v>
      </c>
    </row>
    <row r="94" spans="2:9" ht="12.75" outlineLevel="1">
      <c r="B94" s="1">
        <v>32</v>
      </c>
      <c r="C94" s="89" t="s">
        <v>82</v>
      </c>
      <c r="D94" s="104" t="s">
        <v>13</v>
      </c>
      <c r="E94" s="91">
        <f t="shared" si="4"/>
        <v>0</v>
      </c>
      <c r="F94" s="141">
        <v>3650</v>
      </c>
      <c r="G94" s="92">
        <f t="shared" si="7"/>
        <v>0</v>
      </c>
      <c r="H94" s="105" t="s">
        <v>11</v>
      </c>
      <c r="I94" s="107">
        <f>E94*0.1*0.15*4</f>
        <v>0</v>
      </c>
    </row>
    <row r="95" spans="2:9" ht="12.75" outlineLevel="1">
      <c r="B95" s="1">
        <v>33</v>
      </c>
      <c r="C95" s="89" t="s">
        <v>83</v>
      </c>
      <c r="D95" s="104" t="s">
        <v>13</v>
      </c>
      <c r="E95" s="91">
        <f aca="true" t="shared" si="8" ref="E95:E126">SUMIF($C$5:$C$52,C95,$E$5:$E$52)</f>
        <v>0</v>
      </c>
      <c r="F95" s="141">
        <v>3650</v>
      </c>
      <c r="G95" s="92">
        <f t="shared" si="7"/>
        <v>0</v>
      </c>
      <c r="H95" s="105" t="s">
        <v>11</v>
      </c>
      <c r="I95" s="107">
        <f>E95*0.1*0.15*4.5</f>
        <v>0</v>
      </c>
    </row>
    <row r="96" spans="2:9" ht="12.75" outlineLevel="1">
      <c r="B96" s="1">
        <v>34</v>
      </c>
      <c r="C96" s="89" t="s">
        <v>84</v>
      </c>
      <c r="D96" s="104" t="s">
        <v>13</v>
      </c>
      <c r="E96" s="91">
        <f t="shared" si="8"/>
        <v>0</v>
      </c>
      <c r="F96" s="141">
        <v>4000</v>
      </c>
      <c r="G96" s="92">
        <f t="shared" si="7"/>
        <v>0</v>
      </c>
      <c r="H96" s="105" t="s">
        <v>11</v>
      </c>
      <c r="I96" s="107">
        <f>E96*0.1*0.15*6</f>
        <v>0</v>
      </c>
    </row>
    <row r="97" spans="2:9" ht="12.75" outlineLevel="1">
      <c r="B97" s="1">
        <v>35</v>
      </c>
      <c r="C97" s="89" t="s">
        <v>85</v>
      </c>
      <c r="D97" s="104" t="s">
        <v>13</v>
      </c>
      <c r="E97" s="91">
        <f t="shared" si="8"/>
        <v>18</v>
      </c>
      <c r="F97" s="141">
        <v>3650</v>
      </c>
      <c r="G97" s="92">
        <f t="shared" si="7"/>
        <v>5256.000000000001</v>
      </c>
      <c r="H97" s="105" t="s">
        <v>11</v>
      </c>
      <c r="I97" s="107">
        <f>E97*0.1*0.2*4</f>
        <v>1.4400000000000002</v>
      </c>
    </row>
    <row r="98" spans="2:9" ht="12.75" outlineLevel="1">
      <c r="B98" s="1">
        <v>36</v>
      </c>
      <c r="C98" s="89" t="s">
        <v>86</v>
      </c>
      <c r="D98" s="104" t="s">
        <v>13</v>
      </c>
      <c r="E98" s="91">
        <f t="shared" si="8"/>
        <v>0</v>
      </c>
      <c r="F98" s="141">
        <v>3650</v>
      </c>
      <c r="G98" s="92">
        <f t="shared" si="7"/>
        <v>0</v>
      </c>
      <c r="H98" s="105" t="s">
        <v>11</v>
      </c>
      <c r="I98" s="107">
        <f>E98*0.1*0.2*4.5</f>
        <v>0</v>
      </c>
    </row>
    <row r="99" spans="2:9" ht="12.75" outlineLevel="1">
      <c r="B99" s="1">
        <v>37</v>
      </c>
      <c r="C99" s="89" t="s">
        <v>87</v>
      </c>
      <c r="D99" s="104" t="s">
        <v>13</v>
      </c>
      <c r="E99" s="91">
        <f t="shared" si="8"/>
        <v>0</v>
      </c>
      <c r="F99" s="141">
        <v>4000</v>
      </c>
      <c r="G99" s="92">
        <f t="shared" si="7"/>
        <v>0</v>
      </c>
      <c r="H99" s="105" t="s">
        <v>11</v>
      </c>
      <c r="I99" s="107">
        <f>E99*0.1*0.2*6</f>
        <v>0</v>
      </c>
    </row>
    <row r="100" spans="2:9" ht="12.75" outlineLevel="1">
      <c r="B100" s="1">
        <v>38</v>
      </c>
      <c r="C100" s="89" t="s">
        <v>88</v>
      </c>
      <c r="D100" s="104" t="s">
        <v>13</v>
      </c>
      <c r="E100" s="91">
        <f t="shared" si="8"/>
        <v>0</v>
      </c>
      <c r="F100" s="141">
        <v>3650</v>
      </c>
      <c r="G100" s="92">
        <f>F100*I100</f>
        <v>0</v>
      </c>
      <c r="H100" s="105" t="s">
        <v>11</v>
      </c>
      <c r="I100" s="107">
        <f>E100*0.15*0.15*4</f>
        <v>0</v>
      </c>
    </row>
    <row r="101" spans="2:9" ht="12.75" outlineLevel="1">
      <c r="B101" s="1">
        <v>39</v>
      </c>
      <c r="C101" s="89" t="s">
        <v>89</v>
      </c>
      <c r="D101" s="104" t="s">
        <v>13</v>
      </c>
      <c r="E101" s="91">
        <f t="shared" si="8"/>
        <v>0</v>
      </c>
      <c r="F101" s="141">
        <v>3650</v>
      </c>
      <c r="G101" s="92">
        <f>F101*I101</f>
        <v>0</v>
      </c>
      <c r="H101" s="105" t="s">
        <v>11</v>
      </c>
      <c r="I101" s="107">
        <f>E101*0.15*0.15*4.5</f>
        <v>0</v>
      </c>
    </row>
    <row r="102" spans="2:9" ht="12.75" outlineLevel="1">
      <c r="B102" s="1">
        <v>40</v>
      </c>
      <c r="C102" s="89" t="s">
        <v>90</v>
      </c>
      <c r="D102" s="104" t="s">
        <v>13</v>
      </c>
      <c r="E102" s="91">
        <f t="shared" si="8"/>
        <v>0</v>
      </c>
      <c r="F102" s="141">
        <v>4000</v>
      </c>
      <c r="G102" s="92">
        <f>F102*I102</f>
        <v>0</v>
      </c>
      <c r="H102" s="105" t="s">
        <v>11</v>
      </c>
      <c r="I102" s="107">
        <f>E102*0.15*0.15*6</f>
        <v>0</v>
      </c>
    </row>
    <row r="103" spans="2:9" ht="12.75" outlineLevel="1">
      <c r="B103" s="1">
        <v>41</v>
      </c>
      <c r="C103" s="89" t="s">
        <v>91</v>
      </c>
      <c r="D103" s="104" t="s">
        <v>13</v>
      </c>
      <c r="E103" s="91">
        <f t="shared" si="8"/>
        <v>0</v>
      </c>
      <c r="F103" s="141">
        <v>3650</v>
      </c>
      <c r="G103" s="92">
        <f aca="true" t="shared" si="9" ref="G103:G112">I103*F103</f>
        <v>0</v>
      </c>
      <c r="H103" s="105" t="s">
        <v>11</v>
      </c>
      <c r="I103" s="107">
        <f>E103*0.15*0.2*4</f>
        <v>0</v>
      </c>
    </row>
    <row r="104" spans="2:9" ht="12.75" outlineLevel="1">
      <c r="B104" s="1">
        <v>42</v>
      </c>
      <c r="C104" s="89" t="s">
        <v>92</v>
      </c>
      <c r="D104" s="104" t="s">
        <v>13</v>
      </c>
      <c r="E104" s="91">
        <f t="shared" si="8"/>
        <v>0</v>
      </c>
      <c r="F104" s="141">
        <v>3650</v>
      </c>
      <c r="G104" s="92">
        <f t="shared" si="9"/>
        <v>0</v>
      </c>
      <c r="H104" s="105" t="s">
        <v>11</v>
      </c>
      <c r="I104" s="107">
        <f>E104*0.15*0.2*4.5</f>
        <v>0</v>
      </c>
    </row>
    <row r="105" spans="2:9" ht="12.75" outlineLevel="1">
      <c r="B105" s="1">
        <v>43</v>
      </c>
      <c r="C105" s="89" t="s">
        <v>93</v>
      </c>
      <c r="D105" s="104" t="s">
        <v>13</v>
      </c>
      <c r="E105" s="91">
        <f t="shared" si="8"/>
        <v>0</v>
      </c>
      <c r="F105" s="141">
        <v>4000</v>
      </c>
      <c r="G105" s="92">
        <f t="shared" si="9"/>
        <v>0</v>
      </c>
      <c r="H105" s="105" t="s">
        <v>11</v>
      </c>
      <c r="I105" s="107">
        <f>E105*0.15*0.2*6</f>
        <v>0</v>
      </c>
    </row>
    <row r="106" spans="2:9" ht="12.75" outlineLevel="1">
      <c r="B106" s="1">
        <v>44</v>
      </c>
      <c r="C106" s="89" t="s">
        <v>252</v>
      </c>
      <c r="D106" s="104" t="s">
        <v>13</v>
      </c>
      <c r="E106" s="91">
        <f t="shared" si="8"/>
        <v>20</v>
      </c>
      <c r="F106" s="141">
        <v>3650</v>
      </c>
      <c r="G106" s="92">
        <f>I106*F106</f>
        <v>8760.000000000002</v>
      </c>
      <c r="H106" s="105" t="s">
        <v>11</v>
      </c>
      <c r="I106" s="107">
        <f>E106*0.2*0.2*3</f>
        <v>2.4000000000000004</v>
      </c>
    </row>
    <row r="107" spans="2:9" ht="12.75" outlineLevel="1">
      <c r="B107" s="1">
        <v>44</v>
      </c>
      <c r="C107" s="89" t="s">
        <v>94</v>
      </c>
      <c r="D107" s="104" t="s">
        <v>13</v>
      </c>
      <c r="E107" s="91">
        <f t="shared" si="8"/>
        <v>0</v>
      </c>
      <c r="F107" s="141">
        <v>3650</v>
      </c>
      <c r="G107" s="92">
        <f t="shared" si="9"/>
        <v>0</v>
      </c>
      <c r="H107" s="105" t="s">
        <v>11</v>
      </c>
      <c r="I107" s="107">
        <f>E107*0.2*0.2*4</f>
        <v>0</v>
      </c>
    </row>
    <row r="108" spans="2:9" ht="12.75" outlineLevel="1">
      <c r="B108" s="1">
        <v>45</v>
      </c>
      <c r="C108" s="89" t="s">
        <v>95</v>
      </c>
      <c r="D108" s="104" t="s">
        <v>13</v>
      </c>
      <c r="E108" s="91">
        <f t="shared" si="8"/>
        <v>0</v>
      </c>
      <c r="F108" s="141">
        <v>3650</v>
      </c>
      <c r="G108" s="92">
        <f t="shared" si="9"/>
        <v>0</v>
      </c>
      <c r="H108" s="105" t="s">
        <v>11</v>
      </c>
      <c r="I108" s="107">
        <f>E108*0.2*0.2*4.5</f>
        <v>0</v>
      </c>
    </row>
    <row r="109" spans="2:9" ht="12.75" outlineLevel="1">
      <c r="B109" s="1">
        <v>46</v>
      </c>
      <c r="C109" s="89" t="s">
        <v>96</v>
      </c>
      <c r="D109" s="104" t="s">
        <v>13</v>
      </c>
      <c r="E109" s="91">
        <f t="shared" si="8"/>
        <v>0</v>
      </c>
      <c r="F109" s="141">
        <v>4000</v>
      </c>
      <c r="G109" s="92">
        <f t="shared" si="9"/>
        <v>0</v>
      </c>
      <c r="H109" s="105" t="s">
        <v>11</v>
      </c>
      <c r="I109" s="107">
        <f>E109*0.2*0.2*6</f>
        <v>0</v>
      </c>
    </row>
    <row r="110" spans="2:9" ht="12.75" outlineLevel="1">
      <c r="B110" s="1">
        <v>47</v>
      </c>
      <c r="C110" s="89" t="s">
        <v>97</v>
      </c>
      <c r="D110" s="104" t="s">
        <v>13</v>
      </c>
      <c r="E110" s="91">
        <f t="shared" si="8"/>
        <v>0</v>
      </c>
      <c r="F110" s="141">
        <v>3650</v>
      </c>
      <c r="G110" s="92">
        <f t="shared" si="9"/>
        <v>0</v>
      </c>
      <c r="H110" s="105" t="s">
        <v>11</v>
      </c>
      <c r="I110" s="107">
        <f>E110*0.2*0.25*4</f>
        <v>0</v>
      </c>
    </row>
    <row r="111" spans="2:9" ht="12.75" outlineLevel="1">
      <c r="B111" s="1">
        <v>48</v>
      </c>
      <c r="C111" s="89" t="s">
        <v>98</v>
      </c>
      <c r="D111" s="104" t="s">
        <v>13</v>
      </c>
      <c r="E111" s="91">
        <f t="shared" si="8"/>
        <v>0</v>
      </c>
      <c r="F111" s="141">
        <v>3650</v>
      </c>
      <c r="G111" s="92">
        <f t="shared" si="9"/>
        <v>0</v>
      </c>
      <c r="H111" s="105" t="s">
        <v>11</v>
      </c>
      <c r="I111" s="107">
        <f>E111*0.2*0.25*4.5</f>
        <v>0</v>
      </c>
    </row>
    <row r="112" spans="2:9" ht="12.75" outlineLevel="1">
      <c r="B112" s="1">
        <v>49</v>
      </c>
      <c r="C112" s="89" t="s">
        <v>99</v>
      </c>
      <c r="D112" s="104" t="s">
        <v>13</v>
      </c>
      <c r="E112" s="91">
        <f t="shared" si="8"/>
        <v>0</v>
      </c>
      <c r="F112" s="141">
        <v>4000</v>
      </c>
      <c r="G112" s="92">
        <f t="shared" si="9"/>
        <v>0</v>
      </c>
      <c r="H112" s="105" t="s">
        <v>11</v>
      </c>
      <c r="I112" s="107">
        <f>E112*0.2*0.25*6</f>
        <v>0</v>
      </c>
    </row>
    <row r="113" spans="2:9" ht="12.75" outlineLevel="1">
      <c r="B113" s="1">
        <v>50</v>
      </c>
      <c r="C113" s="89" t="s">
        <v>100</v>
      </c>
      <c r="D113" s="108" t="s">
        <v>13</v>
      </c>
      <c r="E113" s="91">
        <f t="shared" si="8"/>
        <v>0</v>
      </c>
      <c r="F113" s="141">
        <v>0.6</v>
      </c>
      <c r="G113" s="92">
        <f aca="true" t="shared" si="10" ref="G113:G126">E113*F113</f>
        <v>0</v>
      </c>
      <c r="H113" s="93"/>
      <c r="I113" s="94"/>
    </row>
    <row r="114" spans="2:9" ht="12.75" outlineLevel="1">
      <c r="B114" s="1">
        <v>51</v>
      </c>
      <c r="C114" s="89" t="s">
        <v>101</v>
      </c>
      <c r="D114" s="90" t="s">
        <v>20</v>
      </c>
      <c r="E114" s="91">
        <f t="shared" si="8"/>
        <v>0</v>
      </c>
      <c r="F114" s="141">
        <v>1.5</v>
      </c>
      <c r="G114" s="92">
        <f t="shared" si="10"/>
        <v>0</v>
      </c>
      <c r="H114" s="93"/>
      <c r="I114" s="94"/>
    </row>
    <row r="115" spans="2:9" ht="12.75" outlineLevel="1">
      <c r="B115" s="1">
        <v>52</v>
      </c>
      <c r="C115" s="89" t="s">
        <v>102</v>
      </c>
      <c r="D115" s="90" t="s">
        <v>20</v>
      </c>
      <c r="E115" s="91">
        <f t="shared" si="8"/>
        <v>0</v>
      </c>
      <c r="F115" s="141">
        <v>2.5</v>
      </c>
      <c r="G115" s="92">
        <f t="shared" si="10"/>
        <v>0</v>
      </c>
      <c r="H115" s="93"/>
      <c r="I115" s="94"/>
    </row>
    <row r="116" spans="2:9" ht="12.75" outlineLevel="1">
      <c r="B116" s="1">
        <v>53</v>
      </c>
      <c r="C116" s="89" t="s">
        <v>103</v>
      </c>
      <c r="D116" s="101" t="s">
        <v>14</v>
      </c>
      <c r="E116" s="91">
        <f t="shared" si="8"/>
        <v>0</v>
      </c>
      <c r="F116" s="141">
        <v>22</v>
      </c>
      <c r="G116" s="92">
        <f t="shared" si="10"/>
        <v>0</v>
      </c>
      <c r="H116" s="93"/>
      <c r="I116" s="94"/>
    </row>
    <row r="117" spans="2:9" ht="12.75" outlineLevel="1">
      <c r="B117" s="1">
        <v>54</v>
      </c>
      <c r="C117" s="109" t="s">
        <v>104</v>
      </c>
      <c r="D117" s="108" t="s">
        <v>14</v>
      </c>
      <c r="E117" s="91">
        <f t="shared" si="8"/>
        <v>0</v>
      </c>
      <c r="F117" s="141">
        <v>28</v>
      </c>
      <c r="G117" s="92">
        <f t="shared" si="10"/>
        <v>0</v>
      </c>
      <c r="H117" s="93"/>
      <c r="I117" s="94"/>
    </row>
    <row r="118" spans="2:9" ht="12.75" outlineLevel="1">
      <c r="B118" s="1">
        <v>55</v>
      </c>
      <c r="C118" s="89" t="s">
        <v>105</v>
      </c>
      <c r="D118" s="90" t="s">
        <v>14</v>
      </c>
      <c r="E118" s="91">
        <f t="shared" si="8"/>
        <v>0</v>
      </c>
      <c r="F118" s="141">
        <v>33</v>
      </c>
      <c r="G118" s="92">
        <f t="shared" si="10"/>
        <v>0</v>
      </c>
      <c r="H118" s="93"/>
      <c r="I118" s="94"/>
    </row>
    <row r="119" spans="2:9" ht="12.75" outlineLevel="1">
      <c r="B119" s="1">
        <v>56</v>
      </c>
      <c r="C119" s="89" t="s">
        <v>106</v>
      </c>
      <c r="D119" s="104" t="s">
        <v>14</v>
      </c>
      <c r="E119" s="91">
        <f t="shared" si="8"/>
        <v>0</v>
      </c>
      <c r="F119" s="141">
        <v>31</v>
      </c>
      <c r="G119" s="92">
        <f t="shared" si="10"/>
        <v>0</v>
      </c>
      <c r="H119" s="93"/>
      <c r="I119" s="94"/>
    </row>
    <row r="120" spans="2:9" ht="12.75" outlineLevel="1">
      <c r="B120" s="1">
        <v>57</v>
      </c>
      <c r="C120" s="89" t="s">
        <v>107</v>
      </c>
      <c r="D120" s="104" t="s">
        <v>14</v>
      </c>
      <c r="E120" s="91">
        <f t="shared" si="8"/>
        <v>0</v>
      </c>
      <c r="F120" s="141">
        <v>25</v>
      </c>
      <c r="G120" s="92">
        <f t="shared" si="10"/>
        <v>0</v>
      </c>
      <c r="H120" s="93"/>
      <c r="I120" s="94"/>
    </row>
    <row r="121" spans="2:9" ht="12.75" outlineLevel="1">
      <c r="B121" s="1">
        <v>58</v>
      </c>
      <c r="C121" s="89" t="s">
        <v>256</v>
      </c>
      <c r="D121" s="101" t="s">
        <v>20</v>
      </c>
      <c r="E121" s="91">
        <f t="shared" si="8"/>
        <v>7320.9825</v>
      </c>
      <c r="F121" s="141">
        <f>267/1300</f>
        <v>0.2053846153846154</v>
      </c>
      <c r="G121" s="92">
        <f t="shared" si="10"/>
        <v>1503.617175</v>
      </c>
      <c r="H121" s="93"/>
      <c r="I121" s="94"/>
    </row>
    <row r="122" spans="2:9" ht="12.75" outlineLevel="1">
      <c r="B122" s="1">
        <v>59</v>
      </c>
      <c r="C122" s="89" t="s">
        <v>108</v>
      </c>
      <c r="D122" s="108" t="s">
        <v>21</v>
      </c>
      <c r="E122" s="91">
        <f t="shared" si="8"/>
        <v>0</v>
      </c>
      <c r="F122" s="141">
        <v>23</v>
      </c>
      <c r="G122" s="92">
        <f t="shared" si="10"/>
        <v>0</v>
      </c>
      <c r="H122" s="93"/>
      <c r="I122" s="94"/>
    </row>
    <row r="123" spans="2:9" ht="12.75" outlineLevel="1">
      <c r="B123" s="1">
        <v>60</v>
      </c>
      <c r="C123" s="89" t="s">
        <v>109</v>
      </c>
      <c r="D123" s="101" t="s">
        <v>20</v>
      </c>
      <c r="E123" s="91">
        <f t="shared" si="8"/>
        <v>0</v>
      </c>
      <c r="F123" s="141">
        <v>57</v>
      </c>
      <c r="G123" s="92">
        <f t="shared" si="10"/>
        <v>0</v>
      </c>
      <c r="H123" s="93"/>
      <c r="I123" s="94"/>
    </row>
    <row r="124" spans="2:9" ht="12.75" outlineLevel="1">
      <c r="B124" s="1">
        <v>61</v>
      </c>
      <c r="C124" s="89" t="s">
        <v>110</v>
      </c>
      <c r="D124" s="101" t="s">
        <v>13</v>
      </c>
      <c r="E124" s="91">
        <f t="shared" si="8"/>
        <v>0</v>
      </c>
      <c r="F124" s="141">
        <v>102</v>
      </c>
      <c r="G124" s="92">
        <f t="shared" si="10"/>
        <v>0</v>
      </c>
      <c r="H124" s="93"/>
      <c r="I124" s="94"/>
    </row>
    <row r="125" spans="2:9" ht="12.75" outlineLevel="1">
      <c r="B125" s="1">
        <v>62</v>
      </c>
      <c r="C125" s="89" t="s">
        <v>111</v>
      </c>
      <c r="D125" s="101" t="s">
        <v>20</v>
      </c>
      <c r="E125" s="91">
        <f t="shared" si="8"/>
        <v>0</v>
      </c>
      <c r="F125" s="141">
        <v>45</v>
      </c>
      <c r="G125" s="92">
        <f t="shared" si="10"/>
        <v>0</v>
      </c>
      <c r="H125" s="93"/>
      <c r="I125" s="94"/>
    </row>
    <row r="126" spans="2:9" ht="12.75" outlineLevel="1">
      <c r="B126" s="1">
        <v>63</v>
      </c>
      <c r="C126" s="89" t="s">
        <v>112</v>
      </c>
      <c r="D126" s="101" t="s">
        <v>13</v>
      </c>
      <c r="E126" s="91">
        <f t="shared" si="8"/>
        <v>0</v>
      </c>
      <c r="F126" s="141">
        <v>88</v>
      </c>
      <c r="G126" s="92">
        <f t="shared" si="10"/>
        <v>0</v>
      </c>
      <c r="H126" s="93"/>
      <c r="I126" s="94"/>
    </row>
    <row r="127" spans="2:9" ht="12.75" outlineLevel="1">
      <c r="B127" s="1">
        <v>64</v>
      </c>
      <c r="C127" s="89" t="s">
        <v>113</v>
      </c>
      <c r="D127" s="104" t="s">
        <v>13</v>
      </c>
      <c r="E127" s="91">
        <f aca="true" t="shared" si="11" ref="E127:E158">SUMIF($C$5:$C$52,C127,$E$5:$E$52)</f>
        <v>474.27500000000003</v>
      </c>
      <c r="F127" s="141">
        <v>3650</v>
      </c>
      <c r="G127" s="92">
        <f>I127*F127</f>
        <v>17311.037500000002</v>
      </c>
      <c r="H127" s="105" t="s">
        <v>11</v>
      </c>
      <c r="I127" s="106">
        <f>E127*0.1*0.025*4</f>
        <v>4.742750000000001</v>
      </c>
    </row>
    <row r="128" spans="2:9" ht="12.75" outlineLevel="1">
      <c r="B128" s="1">
        <v>65</v>
      </c>
      <c r="C128" s="89" t="s">
        <v>114</v>
      </c>
      <c r="D128" s="104" t="s">
        <v>13</v>
      </c>
      <c r="E128" s="91">
        <f t="shared" si="11"/>
        <v>16</v>
      </c>
      <c r="F128" s="141">
        <v>3650</v>
      </c>
      <c r="G128" s="92">
        <f>I128*F128</f>
        <v>1168.0000000000002</v>
      </c>
      <c r="H128" s="105" t="s">
        <v>11</v>
      </c>
      <c r="I128" s="106">
        <f>E128*0.2*0.025*4</f>
        <v>0.32000000000000006</v>
      </c>
    </row>
    <row r="129" spans="2:9" ht="12.75" outlineLevel="1">
      <c r="B129" s="1">
        <v>66</v>
      </c>
      <c r="C129" s="89" t="s">
        <v>115</v>
      </c>
      <c r="D129" s="101" t="s">
        <v>19</v>
      </c>
      <c r="E129" s="91">
        <f t="shared" si="11"/>
        <v>0</v>
      </c>
      <c r="F129" s="141">
        <v>9.88</v>
      </c>
      <c r="G129" s="92">
        <f aca="true" t="shared" si="12" ref="G129:G149">E129*F129</f>
        <v>0</v>
      </c>
      <c r="H129" s="93"/>
      <c r="I129" s="94"/>
    </row>
    <row r="130" spans="2:9" ht="12.75" outlineLevel="1">
      <c r="B130" s="1">
        <v>67</v>
      </c>
      <c r="C130" s="89" t="s">
        <v>116</v>
      </c>
      <c r="D130" s="101" t="s">
        <v>13</v>
      </c>
      <c r="E130" s="91">
        <f t="shared" si="11"/>
        <v>0</v>
      </c>
      <c r="F130" s="141">
        <v>242</v>
      </c>
      <c r="G130" s="92">
        <f t="shared" si="12"/>
        <v>0</v>
      </c>
      <c r="H130" s="93"/>
      <c r="I130" s="94"/>
    </row>
    <row r="131" spans="2:9" ht="12.75" outlineLevel="1">
      <c r="B131" s="1">
        <v>68</v>
      </c>
      <c r="C131" s="89" t="s">
        <v>117</v>
      </c>
      <c r="D131" s="101" t="s">
        <v>13</v>
      </c>
      <c r="E131" s="91">
        <f t="shared" si="11"/>
        <v>0</v>
      </c>
      <c r="F131" s="141">
        <v>290</v>
      </c>
      <c r="G131" s="96">
        <f t="shared" si="12"/>
        <v>0</v>
      </c>
      <c r="H131" s="93"/>
      <c r="I131" s="94"/>
    </row>
    <row r="132" spans="2:9" ht="12.75" outlineLevel="1">
      <c r="B132" s="1">
        <v>69</v>
      </c>
      <c r="C132" s="89" t="s">
        <v>118</v>
      </c>
      <c r="D132" s="101" t="s">
        <v>13</v>
      </c>
      <c r="E132" s="91">
        <f t="shared" si="11"/>
        <v>0</v>
      </c>
      <c r="F132" s="141">
        <v>290</v>
      </c>
      <c r="G132" s="96">
        <f t="shared" si="12"/>
        <v>0</v>
      </c>
      <c r="H132" s="93"/>
      <c r="I132" s="94"/>
    </row>
    <row r="133" spans="2:9" ht="12.75" outlineLevel="1">
      <c r="B133" s="1">
        <v>70</v>
      </c>
      <c r="C133" s="89" t="s">
        <v>119</v>
      </c>
      <c r="D133" s="110" t="s">
        <v>120</v>
      </c>
      <c r="E133" s="91">
        <f t="shared" si="11"/>
        <v>0</v>
      </c>
      <c r="F133" s="141">
        <v>14.2</v>
      </c>
      <c r="G133" s="96">
        <f t="shared" si="12"/>
        <v>0</v>
      </c>
      <c r="H133" s="93"/>
      <c r="I133" s="94"/>
    </row>
    <row r="134" spans="2:9" ht="12.75" outlineLevel="1">
      <c r="B134" s="1">
        <v>71</v>
      </c>
      <c r="C134" s="89" t="s">
        <v>121</v>
      </c>
      <c r="D134" s="101" t="s">
        <v>13</v>
      </c>
      <c r="E134" s="91">
        <f t="shared" si="11"/>
        <v>0</v>
      </c>
      <c r="F134" s="141">
        <v>68</v>
      </c>
      <c r="G134" s="96">
        <f t="shared" si="12"/>
        <v>0</v>
      </c>
      <c r="H134" s="93"/>
      <c r="I134" s="94"/>
    </row>
    <row r="135" spans="2:9" ht="12.75" outlineLevel="1">
      <c r="B135" s="1">
        <v>72</v>
      </c>
      <c r="C135" s="89" t="s">
        <v>122</v>
      </c>
      <c r="D135" s="101" t="s">
        <v>13</v>
      </c>
      <c r="E135" s="91">
        <f t="shared" si="11"/>
        <v>0</v>
      </c>
      <c r="F135" s="141">
        <v>68</v>
      </c>
      <c r="G135" s="96">
        <f t="shared" si="12"/>
        <v>0</v>
      </c>
      <c r="H135" s="93"/>
      <c r="I135" s="94"/>
    </row>
    <row r="136" spans="2:9" ht="12.75" outlineLevel="1">
      <c r="B136" s="1">
        <v>73</v>
      </c>
      <c r="C136" s="89" t="s">
        <v>123</v>
      </c>
      <c r="D136" s="101" t="s">
        <v>13</v>
      </c>
      <c r="E136" s="91">
        <f t="shared" si="11"/>
        <v>0</v>
      </c>
      <c r="F136" s="141">
        <v>52</v>
      </c>
      <c r="G136" s="96">
        <f t="shared" si="12"/>
        <v>0</v>
      </c>
      <c r="H136" s="93"/>
      <c r="I136" s="94"/>
    </row>
    <row r="137" spans="2:9" ht="12.75" outlineLevel="1">
      <c r="B137" s="1">
        <v>74</v>
      </c>
      <c r="C137" s="89" t="s">
        <v>124</v>
      </c>
      <c r="D137" s="101" t="s">
        <v>13</v>
      </c>
      <c r="E137" s="91">
        <f t="shared" si="11"/>
        <v>0</v>
      </c>
      <c r="F137" s="141">
        <v>52</v>
      </c>
      <c r="G137" s="96">
        <f t="shared" si="12"/>
        <v>0</v>
      </c>
      <c r="H137" s="93"/>
      <c r="I137" s="94"/>
    </row>
    <row r="138" spans="2:9" ht="12.75" outlineLevel="1">
      <c r="B138" s="1">
        <v>75</v>
      </c>
      <c r="C138" s="89" t="s">
        <v>125</v>
      </c>
      <c r="D138" s="101" t="s">
        <v>38</v>
      </c>
      <c r="E138" s="91">
        <f t="shared" si="11"/>
        <v>0</v>
      </c>
      <c r="F138" s="141">
        <v>35</v>
      </c>
      <c r="G138" s="96">
        <f t="shared" si="12"/>
        <v>0</v>
      </c>
      <c r="H138" s="93"/>
      <c r="I138" s="94"/>
    </row>
    <row r="139" spans="2:9" ht="12.75" outlineLevel="1">
      <c r="B139" s="1">
        <v>76</v>
      </c>
      <c r="C139" s="89" t="s">
        <v>126</v>
      </c>
      <c r="D139" s="111" t="s">
        <v>13</v>
      </c>
      <c r="E139" s="91">
        <f t="shared" si="11"/>
        <v>0</v>
      </c>
      <c r="F139" s="141">
        <v>5</v>
      </c>
      <c r="G139" s="96">
        <f t="shared" si="12"/>
        <v>0</v>
      </c>
      <c r="H139" s="93"/>
      <c r="I139" s="94"/>
    </row>
    <row r="140" spans="2:9" ht="12.75" outlineLevel="1">
      <c r="B140" s="1">
        <v>77</v>
      </c>
      <c r="C140" s="89" t="s">
        <v>127</v>
      </c>
      <c r="D140" s="111" t="s">
        <v>13</v>
      </c>
      <c r="E140" s="91">
        <f t="shared" si="11"/>
        <v>0</v>
      </c>
      <c r="F140" s="141">
        <v>2.5</v>
      </c>
      <c r="G140" s="96">
        <f t="shared" si="12"/>
        <v>0</v>
      </c>
      <c r="H140" s="93"/>
      <c r="I140" s="94"/>
    </row>
    <row r="141" spans="2:9" ht="12.75" outlineLevel="1">
      <c r="B141" s="1">
        <v>78</v>
      </c>
      <c r="C141" s="89" t="s">
        <v>128</v>
      </c>
      <c r="D141" s="101" t="s">
        <v>20</v>
      </c>
      <c r="E141" s="91">
        <f t="shared" si="11"/>
        <v>0</v>
      </c>
      <c r="F141" s="141">
        <v>105</v>
      </c>
      <c r="G141" s="96">
        <f t="shared" si="12"/>
        <v>0</v>
      </c>
      <c r="H141" s="93"/>
      <c r="I141" s="94"/>
    </row>
    <row r="142" spans="2:9" ht="12.75" outlineLevel="1">
      <c r="B142" s="1">
        <v>79</v>
      </c>
      <c r="C142" s="89" t="s">
        <v>129</v>
      </c>
      <c r="D142" s="101" t="s">
        <v>20</v>
      </c>
      <c r="E142" s="91">
        <f t="shared" si="11"/>
        <v>0</v>
      </c>
      <c r="F142" s="141">
        <v>82</v>
      </c>
      <c r="G142" s="96">
        <f t="shared" si="12"/>
        <v>0</v>
      </c>
      <c r="H142" s="93"/>
      <c r="I142" s="94"/>
    </row>
    <row r="143" spans="2:9" ht="12.75" outlineLevel="1">
      <c r="B143" s="1">
        <v>80</v>
      </c>
      <c r="C143" s="89" t="s">
        <v>130</v>
      </c>
      <c r="D143" s="101" t="s">
        <v>38</v>
      </c>
      <c r="E143" s="91">
        <f t="shared" si="11"/>
        <v>0</v>
      </c>
      <c r="F143" s="141">
        <v>5.5</v>
      </c>
      <c r="G143" s="96">
        <f t="shared" si="12"/>
        <v>0</v>
      </c>
      <c r="H143" s="93"/>
      <c r="I143" s="94"/>
    </row>
    <row r="144" spans="2:9" ht="12.75" outlineLevel="1">
      <c r="B144" s="1">
        <v>81</v>
      </c>
      <c r="C144" s="89" t="s">
        <v>131</v>
      </c>
      <c r="D144" s="101" t="s">
        <v>20</v>
      </c>
      <c r="E144" s="91">
        <f t="shared" si="11"/>
        <v>0</v>
      </c>
      <c r="F144" s="141">
        <v>212</v>
      </c>
      <c r="G144" s="96">
        <f t="shared" si="12"/>
        <v>0</v>
      </c>
      <c r="H144" s="93"/>
      <c r="I144" s="94"/>
    </row>
    <row r="145" spans="2:9" ht="12.75" outlineLevel="1">
      <c r="B145" s="1">
        <v>82</v>
      </c>
      <c r="C145" s="89" t="s">
        <v>132</v>
      </c>
      <c r="D145" s="101" t="s">
        <v>20</v>
      </c>
      <c r="E145" s="91">
        <f t="shared" si="11"/>
        <v>0</v>
      </c>
      <c r="F145" s="141">
        <v>255</v>
      </c>
      <c r="G145" s="96">
        <f t="shared" si="12"/>
        <v>0</v>
      </c>
      <c r="H145" s="93"/>
      <c r="I145" s="94"/>
    </row>
    <row r="146" spans="2:9" ht="12.75" outlineLevel="1">
      <c r="B146" s="1">
        <v>83</v>
      </c>
      <c r="C146" s="89" t="s">
        <v>133</v>
      </c>
      <c r="D146" s="101" t="s">
        <v>20</v>
      </c>
      <c r="E146" s="91">
        <f t="shared" si="11"/>
        <v>0</v>
      </c>
      <c r="F146" s="141">
        <v>255</v>
      </c>
      <c r="G146" s="96">
        <f t="shared" si="12"/>
        <v>0</v>
      </c>
      <c r="H146" s="93"/>
      <c r="I146" s="94"/>
    </row>
    <row r="147" spans="2:9" ht="12.75" outlineLevel="1">
      <c r="B147" s="1">
        <v>84</v>
      </c>
      <c r="C147" s="89" t="s">
        <v>134</v>
      </c>
      <c r="D147" s="101" t="s">
        <v>20</v>
      </c>
      <c r="E147" s="91">
        <f t="shared" si="11"/>
        <v>0</v>
      </c>
      <c r="F147" s="141">
        <v>165</v>
      </c>
      <c r="G147" s="96">
        <f t="shared" si="12"/>
        <v>0</v>
      </c>
      <c r="H147" s="93"/>
      <c r="I147" s="94"/>
    </row>
    <row r="148" spans="2:9" ht="12.75" outlineLevel="1">
      <c r="B148" s="1">
        <v>85</v>
      </c>
      <c r="C148" s="89" t="s">
        <v>135</v>
      </c>
      <c r="D148" s="101" t="s">
        <v>20</v>
      </c>
      <c r="E148" s="91">
        <f t="shared" si="11"/>
        <v>0</v>
      </c>
      <c r="F148" s="141">
        <v>198</v>
      </c>
      <c r="G148" s="96">
        <f t="shared" si="12"/>
        <v>0</v>
      </c>
      <c r="H148" s="93"/>
      <c r="I148" s="94"/>
    </row>
    <row r="149" spans="2:9" ht="12.75" outlineLevel="1">
      <c r="B149" s="1">
        <v>86</v>
      </c>
      <c r="C149" s="89" t="s">
        <v>136</v>
      </c>
      <c r="D149" s="101" t="s">
        <v>20</v>
      </c>
      <c r="E149" s="91">
        <f t="shared" si="11"/>
        <v>0</v>
      </c>
      <c r="F149" s="141">
        <v>198</v>
      </c>
      <c r="G149" s="96">
        <f t="shared" si="12"/>
        <v>0</v>
      </c>
      <c r="H149" s="93"/>
      <c r="I149" s="94"/>
    </row>
    <row r="150" spans="2:9" ht="12.75" outlineLevel="1">
      <c r="B150" s="1">
        <v>87</v>
      </c>
      <c r="C150" s="89" t="s">
        <v>137</v>
      </c>
      <c r="D150" s="101" t="s">
        <v>19</v>
      </c>
      <c r="E150" s="91">
        <f t="shared" si="11"/>
        <v>0</v>
      </c>
      <c r="F150" s="141">
        <v>25200</v>
      </c>
      <c r="G150" s="96">
        <f>H150*F150</f>
        <v>0</v>
      </c>
      <c r="H150" s="112">
        <f>E150*0.0785</f>
        <v>0</v>
      </c>
      <c r="I150" s="94"/>
    </row>
    <row r="151" spans="2:9" ht="12.75" outlineLevel="1">
      <c r="B151" s="1">
        <v>88</v>
      </c>
      <c r="C151" s="89" t="s">
        <v>138</v>
      </c>
      <c r="D151" s="101" t="s">
        <v>19</v>
      </c>
      <c r="E151" s="91">
        <f t="shared" si="11"/>
        <v>16.942500000000003</v>
      </c>
      <c r="F151" s="141">
        <v>341</v>
      </c>
      <c r="G151" s="96">
        <f aca="true" t="shared" si="13" ref="G151:G184">E151*F151</f>
        <v>5777.392500000001</v>
      </c>
      <c r="H151" s="93"/>
      <c r="I151" s="94"/>
    </row>
    <row r="152" spans="2:9" ht="25.5" outlineLevel="1">
      <c r="B152" s="1">
        <v>89</v>
      </c>
      <c r="C152" s="89" t="s">
        <v>139</v>
      </c>
      <c r="D152" s="108" t="s">
        <v>19</v>
      </c>
      <c r="E152" s="91">
        <f t="shared" si="11"/>
        <v>0</v>
      </c>
      <c r="F152" s="142">
        <v>190</v>
      </c>
      <c r="G152" s="96">
        <f t="shared" si="13"/>
        <v>0</v>
      </c>
      <c r="H152" s="93"/>
      <c r="I152" s="94"/>
    </row>
    <row r="153" spans="2:9" ht="12.75" outlineLevel="1">
      <c r="B153" s="1">
        <v>90</v>
      </c>
      <c r="C153" s="89" t="s">
        <v>140</v>
      </c>
      <c r="D153" s="101" t="s">
        <v>14</v>
      </c>
      <c r="E153" s="91">
        <f t="shared" si="11"/>
        <v>0</v>
      </c>
      <c r="F153" s="141">
        <v>80</v>
      </c>
      <c r="G153" s="92">
        <f t="shared" si="13"/>
        <v>0</v>
      </c>
      <c r="H153" s="93"/>
      <c r="I153" s="94"/>
    </row>
    <row r="154" spans="2:9" ht="12.75" outlineLevel="1">
      <c r="B154" s="1">
        <v>91</v>
      </c>
      <c r="C154" s="89" t="s">
        <v>254</v>
      </c>
      <c r="D154" s="101" t="s">
        <v>20</v>
      </c>
      <c r="E154" s="91">
        <f t="shared" si="11"/>
        <v>61.015679999999996</v>
      </c>
      <c r="F154" s="141">
        <v>200</v>
      </c>
      <c r="G154" s="92">
        <f t="shared" si="13"/>
        <v>12203.135999999999</v>
      </c>
      <c r="H154" s="93"/>
      <c r="I154" s="94"/>
    </row>
    <row r="155" spans="2:9" ht="12.75" outlineLevel="1">
      <c r="B155" s="1">
        <v>92</v>
      </c>
      <c r="C155" s="89" t="s">
        <v>141</v>
      </c>
      <c r="D155" s="101" t="s">
        <v>19</v>
      </c>
      <c r="E155" s="91">
        <f t="shared" si="11"/>
        <v>0</v>
      </c>
      <c r="F155" s="141">
        <v>5.64</v>
      </c>
      <c r="G155" s="92">
        <f t="shared" si="13"/>
        <v>0</v>
      </c>
      <c r="H155" s="93"/>
      <c r="I155" s="94"/>
    </row>
    <row r="156" spans="2:9" ht="12.75" outlineLevel="1">
      <c r="B156" s="1">
        <v>93</v>
      </c>
      <c r="C156" s="89" t="s">
        <v>142</v>
      </c>
      <c r="D156" s="95" t="s">
        <v>143</v>
      </c>
      <c r="E156" s="91">
        <f t="shared" si="11"/>
        <v>0</v>
      </c>
      <c r="F156" s="141">
        <v>140</v>
      </c>
      <c r="G156" s="92">
        <f t="shared" si="13"/>
        <v>0</v>
      </c>
      <c r="H156" s="93"/>
      <c r="I156" s="94"/>
    </row>
    <row r="157" spans="2:9" ht="12.75" outlineLevel="1">
      <c r="B157" s="1">
        <v>94</v>
      </c>
      <c r="C157" s="113" t="s">
        <v>144</v>
      </c>
      <c r="D157" s="111" t="s">
        <v>13</v>
      </c>
      <c r="E157" s="91">
        <f t="shared" si="11"/>
        <v>0</v>
      </c>
      <c r="F157" s="141">
        <v>90</v>
      </c>
      <c r="G157" s="92">
        <f t="shared" si="13"/>
        <v>0</v>
      </c>
      <c r="H157" s="93"/>
      <c r="I157" s="94"/>
    </row>
    <row r="158" spans="2:9" ht="12.75" outlineLevel="1">
      <c r="B158" s="1">
        <v>95</v>
      </c>
      <c r="C158" s="113" t="s">
        <v>145</v>
      </c>
      <c r="D158" s="111" t="s">
        <v>13</v>
      </c>
      <c r="E158" s="91">
        <f t="shared" si="11"/>
        <v>0</v>
      </c>
      <c r="F158" s="141">
        <v>140</v>
      </c>
      <c r="G158" s="92">
        <f t="shared" si="13"/>
        <v>0</v>
      </c>
      <c r="H158" s="93"/>
      <c r="I158" s="94"/>
    </row>
    <row r="159" spans="2:9" ht="12.75" outlineLevel="1">
      <c r="B159" s="1">
        <v>96</v>
      </c>
      <c r="C159" s="113" t="s">
        <v>146</v>
      </c>
      <c r="D159" s="111" t="s">
        <v>13</v>
      </c>
      <c r="E159" s="91">
        <f aca="true" t="shared" si="14" ref="E159:E190">SUMIF($C$5:$C$52,C159,$E$5:$E$52)</f>
        <v>0</v>
      </c>
      <c r="F159" s="141">
        <v>190</v>
      </c>
      <c r="G159" s="92">
        <f t="shared" si="13"/>
        <v>0</v>
      </c>
      <c r="H159" s="93"/>
      <c r="I159" s="94"/>
    </row>
    <row r="160" spans="2:9" ht="12.75">
      <c r="B160" s="1">
        <v>97</v>
      </c>
      <c r="C160" s="113" t="s">
        <v>147</v>
      </c>
      <c r="D160" s="111" t="s">
        <v>13</v>
      </c>
      <c r="E160" s="91">
        <f t="shared" si="14"/>
        <v>0</v>
      </c>
      <c r="F160" s="141">
        <v>170</v>
      </c>
      <c r="G160" s="92">
        <f t="shared" si="13"/>
        <v>0</v>
      </c>
      <c r="H160" s="93"/>
      <c r="I160" s="94"/>
    </row>
    <row r="161" spans="2:9" ht="12.75">
      <c r="B161" s="1">
        <v>98</v>
      </c>
      <c r="C161" s="113" t="s">
        <v>148</v>
      </c>
      <c r="D161" s="111" t="s">
        <v>13</v>
      </c>
      <c r="E161" s="91">
        <f t="shared" si="14"/>
        <v>0</v>
      </c>
      <c r="F161" s="141">
        <v>221</v>
      </c>
      <c r="G161" s="92">
        <f t="shared" si="13"/>
        <v>0</v>
      </c>
      <c r="H161" s="93"/>
      <c r="I161" s="94"/>
    </row>
    <row r="162" spans="2:9" ht="12.75" outlineLevel="1">
      <c r="B162" s="1">
        <v>99</v>
      </c>
      <c r="C162" s="113" t="s">
        <v>149</v>
      </c>
      <c r="D162" s="111" t="s">
        <v>13</v>
      </c>
      <c r="E162" s="91">
        <f t="shared" si="14"/>
        <v>0</v>
      </c>
      <c r="F162" s="141">
        <v>195</v>
      </c>
      <c r="G162" s="92">
        <f t="shared" si="13"/>
        <v>0</v>
      </c>
      <c r="H162" s="93"/>
      <c r="I162" s="94"/>
    </row>
    <row r="163" spans="2:9" ht="12.75" outlineLevel="1">
      <c r="B163" s="1">
        <v>100</v>
      </c>
      <c r="C163" s="113" t="s">
        <v>150</v>
      </c>
      <c r="D163" s="111" t="s">
        <v>13</v>
      </c>
      <c r="E163" s="91">
        <f t="shared" si="14"/>
        <v>0</v>
      </c>
      <c r="F163" s="141">
        <v>230</v>
      </c>
      <c r="G163" s="92">
        <f t="shared" si="13"/>
        <v>0</v>
      </c>
      <c r="H163" s="93"/>
      <c r="I163" s="94"/>
    </row>
    <row r="164" spans="2:9" ht="12.75">
      <c r="B164" s="1">
        <v>101</v>
      </c>
      <c r="C164" s="113" t="s">
        <v>151</v>
      </c>
      <c r="D164" s="111" t="s">
        <v>13</v>
      </c>
      <c r="E164" s="91">
        <f t="shared" si="14"/>
        <v>0</v>
      </c>
      <c r="F164" s="141">
        <v>200</v>
      </c>
      <c r="G164" s="96">
        <f t="shared" si="13"/>
        <v>0</v>
      </c>
      <c r="H164" s="93"/>
      <c r="I164" s="94"/>
    </row>
    <row r="165" spans="2:9" ht="12.75">
      <c r="B165" s="1">
        <v>102</v>
      </c>
      <c r="C165" s="113" t="s">
        <v>152</v>
      </c>
      <c r="D165" s="111" t="s">
        <v>13</v>
      </c>
      <c r="E165" s="91">
        <f t="shared" si="14"/>
        <v>0</v>
      </c>
      <c r="F165" s="141">
        <v>270</v>
      </c>
      <c r="G165" s="96">
        <f t="shared" si="13"/>
        <v>0</v>
      </c>
      <c r="H165" s="93"/>
      <c r="I165" s="94"/>
    </row>
    <row r="166" spans="2:9" ht="12.75">
      <c r="B166" s="1">
        <v>103</v>
      </c>
      <c r="C166" s="113" t="s">
        <v>153</v>
      </c>
      <c r="D166" s="111" t="s">
        <v>13</v>
      </c>
      <c r="E166" s="91">
        <f t="shared" si="14"/>
        <v>0</v>
      </c>
      <c r="F166" s="141">
        <v>275</v>
      </c>
      <c r="G166" s="96">
        <f t="shared" si="13"/>
        <v>0</v>
      </c>
      <c r="H166" s="93"/>
      <c r="I166" s="94"/>
    </row>
    <row r="167" spans="2:9" ht="12.75">
      <c r="B167" s="1">
        <v>104</v>
      </c>
      <c r="C167" s="113" t="s">
        <v>154</v>
      </c>
      <c r="D167" s="111" t="s">
        <v>13</v>
      </c>
      <c r="E167" s="91">
        <f t="shared" si="14"/>
        <v>0</v>
      </c>
      <c r="F167" s="141">
        <v>320</v>
      </c>
      <c r="G167" s="96">
        <f t="shared" si="13"/>
        <v>0</v>
      </c>
      <c r="H167" s="93"/>
      <c r="I167" s="94"/>
    </row>
    <row r="168" spans="2:9" ht="12.75">
      <c r="B168" s="1">
        <v>105</v>
      </c>
      <c r="C168" s="113" t="s">
        <v>155</v>
      </c>
      <c r="D168" s="111" t="s">
        <v>13</v>
      </c>
      <c r="E168" s="91">
        <f t="shared" si="14"/>
        <v>0</v>
      </c>
      <c r="F168" s="141">
        <v>460</v>
      </c>
      <c r="G168" s="96">
        <f t="shared" si="13"/>
        <v>0</v>
      </c>
      <c r="H168" s="93"/>
      <c r="I168" s="94"/>
    </row>
    <row r="169" spans="2:9" ht="12.75">
      <c r="B169" s="1">
        <v>106</v>
      </c>
      <c r="C169" s="113" t="s">
        <v>156</v>
      </c>
      <c r="D169" s="111" t="s">
        <v>13</v>
      </c>
      <c r="E169" s="91">
        <f t="shared" si="14"/>
        <v>0</v>
      </c>
      <c r="F169" s="141">
        <v>460</v>
      </c>
      <c r="G169" s="96">
        <f t="shared" si="13"/>
        <v>0</v>
      </c>
      <c r="H169" s="93"/>
      <c r="I169" s="94"/>
    </row>
    <row r="170" spans="2:9" ht="12.75">
      <c r="B170" s="1">
        <v>107</v>
      </c>
      <c r="C170" s="113" t="s">
        <v>157</v>
      </c>
      <c r="D170" s="111" t="s">
        <v>13</v>
      </c>
      <c r="E170" s="91">
        <f t="shared" si="14"/>
        <v>0</v>
      </c>
      <c r="F170" s="141">
        <v>385</v>
      </c>
      <c r="G170" s="96">
        <f t="shared" si="13"/>
        <v>0</v>
      </c>
      <c r="H170" s="93"/>
      <c r="I170" s="94"/>
    </row>
    <row r="171" spans="2:9" ht="12.75">
      <c r="B171" s="1">
        <v>108</v>
      </c>
      <c r="C171" s="113" t="s">
        <v>158</v>
      </c>
      <c r="D171" s="111" t="s">
        <v>13</v>
      </c>
      <c r="E171" s="91">
        <f t="shared" si="14"/>
        <v>0</v>
      </c>
      <c r="F171" s="141">
        <v>385</v>
      </c>
      <c r="G171" s="96">
        <f t="shared" si="13"/>
        <v>0</v>
      </c>
      <c r="H171" s="93"/>
      <c r="I171" s="94"/>
    </row>
    <row r="172" spans="2:9" ht="12.75">
      <c r="B172" s="1">
        <v>109</v>
      </c>
      <c r="C172" s="114" t="s">
        <v>159</v>
      </c>
      <c r="D172" s="111" t="s">
        <v>13</v>
      </c>
      <c r="E172" s="91">
        <f t="shared" si="14"/>
        <v>0</v>
      </c>
      <c r="F172" s="141">
        <v>530</v>
      </c>
      <c r="G172" s="96">
        <f t="shared" si="13"/>
        <v>0</v>
      </c>
      <c r="H172" s="93"/>
      <c r="I172" s="94"/>
    </row>
    <row r="173" spans="2:9" ht="12.75">
      <c r="B173" s="1">
        <v>110</v>
      </c>
      <c r="C173" s="114" t="s">
        <v>160</v>
      </c>
      <c r="D173" s="111" t="s">
        <v>13</v>
      </c>
      <c r="E173" s="91">
        <f t="shared" si="14"/>
        <v>0</v>
      </c>
      <c r="F173" s="141">
        <v>750</v>
      </c>
      <c r="G173" s="96">
        <f t="shared" si="13"/>
        <v>0</v>
      </c>
      <c r="H173" s="93"/>
      <c r="I173" s="94"/>
    </row>
    <row r="174" spans="2:9" ht="12.75">
      <c r="B174" s="1">
        <v>111</v>
      </c>
      <c r="C174" s="113" t="s">
        <v>161</v>
      </c>
      <c r="D174" s="111" t="s">
        <v>13</v>
      </c>
      <c r="E174" s="91">
        <f t="shared" si="14"/>
        <v>0</v>
      </c>
      <c r="F174" s="141">
        <v>750</v>
      </c>
      <c r="G174" s="96">
        <f t="shared" si="13"/>
        <v>0</v>
      </c>
      <c r="H174" s="93"/>
      <c r="I174" s="94"/>
    </row>
    <row r="175" spans="2:9" ht="12.75">
      <c r="B175" s="1">
        <v>112</v>
      </c>
      <c r="C175" s="113" t="s">
        <v>162</v>
      </c>
      <c r="D175" s="111" t="s">
        <v>13</v>
      </c>
      <c r="E175" s="91">
        <f t="shared" si="14"/>
        <v>0</v>
      </c>
      <c r="F175" s="141">
        <v>1250</v>
      </c>
      <c r="G175" s="96">
        <f t="shared" si="13"/>
        <v>0</v>
      </c>
      <c r="H175" s="93"/>
      <c r="I175" s="94"/>
    </row>
    <row r="176" spans="2:9" ht="12.75">
      <c r="B176" s="1">
        <v>113</v>
      </c>
      <c r="C176" s="113" t="s">
        <v>163</v>
      </c>
      <c r="D176" s="111" t="s">
        <v>13</v>
      </c>
      <c r="E176" s="91">
        <f t="shared" si="14"/>
        <v>0</v>
      </c>
      <c r="F176" s="141">
        <v>900</v>
      </c>
      <c r="G176" s="96">
        <f t="shared" si="13"/>
        <v>0</v>
      </c>
      <c r="H176" s="93"/>
      <c r="I176" s="94"/>
    </row>
    <row r="177" spans="2:9" ht="12.75">
      <c r="B177" s="1">
        <v>114</v>
      </c>
      <c r="C177" s="113" t="s">
        <v>164</v>
      </c>
      <c r="D177" s="111" t="s">
        <v>13</v>
      </c>
      <c r="E177" s="91">
        <f t="shared" si="14"/>
        <v>0</v>
      </c>
      <c r="F177" s="141">
        <v>900</v>
      </c>
      <c r="G177" s="96">
        <f t="shared" si="13"/>
        <v>0</v>
      </c>
      <c r="H177" s="93"/>
      <c r="I177" s="94"/>
    </row>
    <row r="178" spans="2:9" ht="12.75">
      <c r="B178" s="1">
        <v>115</v>
      </c>
      <c r="C178" s="113" t="s">
        <v>165</v>
      </c>
      <c r="D178" s="111" t="s">
        <v>13</v>
      </c>
      <c r="E178" s="91">
        <f t="shared" si="14"/>
        <v>0</v>
      </c>
      <c r="F178" s="141">
        <v>1700</v>
      </c>
      <c r="G178" s="96">
        <f t="shared" si="13"/>
        <v>0</v>
      </c>
      <c r="H178" s="93"/>
      <c r="I178" s="98"/>
    </row>
    <row r="179" spans="2:9" ht="12.75">
      <c r="B179" s="1">
        <v>116</v>
      </c>
      <c r="C179" s="89" t="s">
        <v>166</v>
      </c>
      <c r="D179" s="115" t="s">
        <v>167</v>
      </c>
      <c r="E179" s="91">
        <f t="shared" si="14"/>
        <v>2.0592000000000006</v>
      </c>
      <c r="F179" s="141">
        <v>150</v>
      </c>
      <c r="G179" s="92">
        <f t="shared" si="13"/>
        <v>308.8800000000001</v>
      </c>
      <c r="H179" s="93"/>
      <c r="I179" s="94"/>
    </row>
    <row r="180" spans="2:9" ht="12.75">
      <c r="B180" s="1">
        <v>117</v>
      </c>
      <c r="C180" s="89" t="s">
        <v>168</v>
      </c>
      <c r="D180" s="101" t="s">
        <v>38</v>
      </c>
      <c r="E180" s="91">
        <f t="shared" si="14"/>
        <v>0</v>
      </c>
      <c r="F180" s="141">
        <v>22</v>
      </c>
      <c r="G180" s="92">
        <f t="shared" si="13"/>
        <v>0</v>
      </c>
      <c r="H180" s="93"/>
      <c r="I180" s="94"/>
    </row>
    <row r="181" spans="2:9" ht="12.75">
      <c r="B181" s="1">
        <v>118</v>
      </c>
      <c r="C181" s="89" t="s">
        <v>169</v>
      </c>
      <c r="D181" s="90" t="s">
        <v>13</v>
      </c>
      <c r="E181" s="91">
        <f t="shared" si="14"/>
        <v>0</v>
      </c>
      <c r="F181" s="141">
        <v>15</v>
      </c>
      <c r="G181" s="92">
        <f t="shared" si="13"/>
        <v>0</v>
      </c>
      <c r="H181" s="93"/>
      <c r="I181" s="94"/>
    </row>
    <row r="182" spans="2:9" ht="12.75">
      <c r="B182" s="1">
        <v>119</v>
      </c>
      <c r="C182" s="89" t="s">
        <v>170</v>
      </c>
      <c r="D182" s="101" t="s">
        <v>19</v>
      </c>
      <c r="E182" s="91">
        <f t="shared" si="14"/>
        <v>213.83999999999997</v>
      </c>
      <c r="F182" s="141">
        <v>31</v>
      </c>
      <c r="G182" s="92">
        <f t="shared" si="13"/>
        <v>6629.039999999999</v>
      </c>
      <c r="H182" s="93"/>
      <c r="I182" s="94"/>
    </row>
    <row r="183" spans="2:9" ht="12.75">
      <c r="B183" s="1">
        <v>120</v>
      </c>
      <c r="C183" s="89" t="s">
        <v>171</v>
      </c>
      <c r="D183" s="108" t="s">
        <v>14</v>
      </c>
      <c r="E183" s="91">
        <f t="shared" si="14"/>
        <v>0</v>
      </c>
      <c r="F183" s="141">
        <v>30</v>
      </c>
      <c r="G183" s="92">
        <f t="shared" si="13"/>
        <v>0</v>
      </c>
      <c r="H183" s="93"/>
      <c r="I183" s="94"/>
    </row>
    <row r="184" spans="2:9" ht="12.75">
      <c r="B184" s="1">
        <v>121</v>
      </c>
      <c r="C184" s="89" t="s">
        <v>172</v>
      </c>
      <c r="D184" s="101" t="s">
        <v>19</v>
      </c>
      <c r="E184" s="91">
        <f t="shared" si="14"/>
        <v>0</v>
      </c>
      <c r="F184" s="141">
        <v>164.5</v>
      </c>
      <c r="G184" s="92">
        <f t="shared" si="13"/>
        <v>0</v>
      </c>
      <c r="H184" s="93"/>
      <c r="I184" s="94"/>
    </row>
    <row r="185" spans="2:9" ht="12.75">
      <c r="B185" s="1">
        <v>122</v>
      </c>
      <c r="C185" s="89" t="s">
        <v>173</v>
      </c>
      <c r="D185" s="104" t="s">
        <v>13</v>
      </c>
      <c r="E185" s="91">
        <f t="shared" si="14"/>
        <v>0</v>
      </c>
      <c r="F185" s="141">
        <v>4500</v>
      </c>
      <c r="G185" s="92">
        <f>I185*F185</f>
        <v>0</v>
      </c>
      <c r="H185" s="105" t="s">
        <v>11</v>
      </c>
      <c r="I185" s="116">
        <f>E185*0.05*0.025*3</f>
        <v>0</v>
      </c>
    </row>
    <row r="186" spans="2:9" ht="12.75">
      <c r="B186" s="1">
        <v>123</v>
      </c>
      <c r="C186" s="89" t="s">
        <v>224</v>
      </c>
      <c r="D186" s="101" t="s">
        <v>20</v>
      </c>
      <c r="E186" s="91">
        <f t="shared" si="14"/>
        <v>0</v>
      </c>
      <c r="F186" s="141">
        <v>126</v>
      </c>
      <c r="G186" s="92">
        <f aca="true" t="shared" si="15" ref="G186:G215">E186*F186</f>
        <v>0</v>
      </c>
      <c r="H186" s="93"/>
      <c r="I186" s="94"/>
    </row>
    <row r="187" spans="2:9" ht="12.75">
      <c r="B187" s="1">
        <v>124</v>
      </c>
      <c r="C187" s="89" t="s">
        <v>174</v>
      </c>
      <c r="D187" s="101" t="s">
        <v>19</v>
      </c>
      <c r="E187" s="91">
        <f t="shared" si="14"/>
        <v>0</v>
      </c>
      <c r="F187" s="141">
        <v>9.4</v>
      </c>
      <c r="G187" s="92">
        <f t="shared" si="15"/>
        <v>0</v>
      </c>
      <c r="H187" s="93"/>
      <c r="I187" s="94"/>
    </row>
    <row r="188" spans="2:9" ht="12.75">
      <c r="B188" s="1">
        <v>125</v>
      </c>
      <c r="C188" s="89" t="s">
        <v>225</v>
      </c>
      <c r="D188" s="101" t="s">
        <v>20</v>
      </c>
      <c r="E188" s="91">
        <f t="shared" si="14"/>
        <v>0</v>
      </c>
      <c r="F188" s="141">
        <v>0.99</v>
      </c>
      <c r="G188" s="92">
        <f t="shared" si="15"/>
        <v>0</v>
      </c>
      <c r="H188" s="93"/>
      <c r="I188" s="94"/>
    </row>
    <row r="189" spans="2:9" ht="12.75">
      <c r="B189" s="1">
        <v>126</v>
      </c>
      <c r="C189" s="89" t="s">
        <v>175</v>
      </c>
      <c r="D189" s="90" t="s">
        <v>20</v>
      </c>
      <c r="E189" s="91">
        <f t="shared" si="14"/>
        <v>3307.375</v>
      </c>
      <c r="F189" s="141">
        <v>0.155</v>
      </c>
      <c r="G189" s="92">
        <f t="shared" si="15"/>
        <v>512.6431249999999</v>
      </c>
      <c r="H189" s="93"/>
      <c r="I189" s="94"/>
    </row>
    <row r="190" spans="2:9" ht="12.75">
      <c r="B190" s="1">
        <v>127</v>
      </c>
      <c r="C190" s="89" t="s">
        <v>176</v>
      </c>
      <c r="D190" s="90" t="s">
        <v>20</v>
      </c>
      <c r="E190" s="91">
        <f t="shared" si="14"/>
        <v>2138.3999999999996</v>
      </c>
      <c r="F190" s="141">
        <v>0.155</v>
      </c>
      <c r="G190" s="92">
        <f t="shared" si="15"/>
        <v>331.45199999999994</v>
      </c>
      <c r="H190" s="93"/>
      <c r="I190" s="94"/>
    </row>
    <row r="191" spans="2:9" ht="12.75">
      <c r="B191" s="1">
        <v>128</v>
      </c>
      <c r="C191" s="89" t="s">
        <v>177</v>
      </c>
      <c r="D191" s="90" t="s">
        <v>20</v>
      </c>
      <c r="E191" s="91">
        <f aca="true" t="shared" si="16" ref="E191:E222">SUMIF($C$5:$C$52,C191,$E$5:$E$52)</f>
        <v>0</v>
      </c>
      <c r="F191" s="141">
        <v>0.28</v>
      </c>
      <c r="G191" s="92">
        <f t="shared" si="15"/>
        <v>0</v>
      </c>
      <c r="H191" s="93"/>
      <c r="I191" s="94"/>
    </row>
    <row r="192" spans="2:9" ht="12.75">
      <c r="B192" s="1">
        <v>129</v>
      </c>
      <c r="C192" s="89" t="s">
        <v>178</v>
      </c>
      <c r="D192" s="90" t="s">
        <v>20</v>
      </c>
      <c r="E192" s="91">
        <f t="shared" si="16"/>
        <v>0</v>
      </c>
      <c r="F192" s="141">
        <v>0.155</v>
      </c>
      <c r="G192" s="92">
        <f t="shared" si="15"/>
        <v>0</v>
      </c>
      <c r="H192" s="93"/>
      <c r="I192" s="94"/>
    </row>
    <row r="193" spans="2:9" ht="12.75" customHeight="1">
      <c r="B193" s="1">
        <v>130</v>
      </c>
      <c r="C193" s="89" t="s">
        <v>179</v>
      </c>
      <c r="D193" s="110" t="s">
        <v>20</v>
      </c>
      <c r="E193" s="91">
        <f t="shared" si="16"/>
        <v>0</v>
      </c>
      <c r="F193" s="141">
        <v>15</v>
      </c>
      <c r="G193" s="92">
        <f t="shared" si="15"/>
        <v>0</v>
      </c>
      <c r="H193" s="93"/>
      <c r="I193" s="94"/>
    </row>
    <row r="194" spans="2:9" ht="12.75">
      <c r="B194" s="1">
        <v>131</v>
      </c>
      <c r="C194" s="89" t="s">
        <v>180</v>
      </c>
      <c r="D194" s="101" t="s">
        <v>20</v>
      </c>
      <c r="E194" s="91">
        <f t="shared" si="16"/>
        <v>0</v>
      </c>
      <c r="F194" s="141">
        <v>73</v>
      </c>
      <c r="G194" s="92">
        <f t="shared" si="15"/>
        <v>0</v>
      </c>
      <c r="H194" s="93"/>
      <c r="I194" s="94"/>
    </row>
    <row r="195" spans="2:9" ht="12.75">
      <c r="B195" s="1">
        <v>132</v>
      </c>
      <c r="C195" s="89" t="s">
        <v>242</v>
      </c>
      <c r="D195" s="101" t="s">
        <v>20</v>
      </c>
      <c r="E195" s="91">
        <f t="shared" si="16"/>
        <v>0</v>
      </c>
      <c r="F195" s="141">
        <v>54</v>
      </c>
      <c r="G195" s="92">
        <f t="shared" si="15"/>
        <v>0</v>
      </c>
      <c r="H195" s="93"/>
      <c r="I195" s="94"/>
    </row>
    <row r="196" spans="2:9" ht="12.75">
      <c r="B196" s="1">
        <v>133</v>
      </c>
      <c r="C196" s="89" t="s">
        <v>181</v>
      </c>
      <c r="D196" s="101" t="s">
        <v>20</v>
      </c>
      <c r="E196" s="91">
        <f t="shared" si="16"/>
        <v>0</v>
      </c>
      <c r="F196" s="141">
        <v>129</v>
      </c>
      <c r="G196" s="92">
        <f t="shared" si="15"/>
        <v>0</v>
      </c>
      <c r="H196" s="93"/>
      <c r="I196" s="94"/>
    </row>
    <row r="197" spans="2:9" ht="12.75">
      <c r="B197" s="1">
        <v>134</v>
      </c>
      <c r="C197" s="89" t="s">
        <v>182</v>
      </c>
      <c r="D197" s="101" t="s">
        <v>20</v>
      </c>
      <c r="E197" s="91">
        <f t="shared" si="16"/>
        <v>0</v>
      </c>
      <c r="F197" s="141">
        <v>100</v>
      </c>
      <c r="G197" s="92">
        <f t="shared" si="15"/>
        <v>0</v>
      </c>
      <c r="H197" s="93"/>
      <c r="I197" s="94"/>
    </row>
    <row r="198" spans="2:9" ht="12.75">
      <c r="B198" s="1">
        <v>135</v>
      </c>
      <c r="C198" s="89" t="s">
        <v>183</v>
      </c>
      <c r="D198" s="90" t="s">
        <v>13</v>
      </c>
      <c r="E198" s="91">
        <f t="shared" si="16"/>
        <v>117</v>
      </c>
      <c r="F198" s="141">
        <v>28.8</v>
      </c>
      <c r="G198" s="92">
        <f t="shared" si="15"/>
        <v>3369.6</v>
      </c>
      <c r="H198" s="93"/>
      <c r="I198" s="94"/>
    </row>
    <row r="199" spans="2:9" ht="12.75">
      <c r="B199" s="1">
        <v>136</v>
      </c>
      <c r="C199" s="89" t="s">
        <v>184</v>
      </c>
      <c r="D199" s="101" t="s">
        <v>20</v>
      </c>
      <c r="E199" s="91">
        <f t="shared" si="16"/>
        <v>0</v>
      </c>
      <c r="F199" s="141">
        <v>290</v>
      </c>
      <c r="G199" s="92">
        <f t="shared" si="15"/>
        <v>0</v>
      </c>
      <c r="H199" s="93"/>
      <c r="I199" s="94"/>
    </row>
    <row r="200" spans="2:9" ht="12.75">
      <c r="B200" s="1">
        <v>137</v>
      </c>
      <c r="C200" s="89" t="s">
        <v>185</v>
      </c>
      <c r="D200" s="101" t="s">
        <v>20</v>
      </c>
      <c r="E200" s="91">
        <f t="shared" si="16"/>
        <v>0</v>
      </c>
      <c r="F200" s="141">
        <v>225</v>
      </c>
      <c r="G200" s="92">
        <f t="shared" si="15"/>
        <v>0</v>
      </c>
      <c r="H200" s="93"/>
      <c r="I200" s="94"/>
    </row>
    <row r="201" spans="2:9" ht="12.75">
      <c r="B201" s="1">
        <v>138</v>
      </c>
      <c r="C201" s="89" t="s">
        <v>186</v>
      </c>
      <c r="D201" s="101" t="s">
        <v>20</v>
      </c>
      <c r="E201" s="91">
        <f t="shared" si="16"/>
        <v>0</v>
      </c>
      <c r="F201" s="141">
        <v>323</v>
      </c>
      <c r="G201" s="92">
        <f t="shared" si="15"/>
        <v>0</v>
      </c>
      <c r="H201" s="93"/>
      <c r="I201" s="94"/>
    </row>
    <row r="202" spans="2:9" ht="12.75">
      <c r="B202" s="1">
        <v>139</v>
      </c>
      <c r="C202" s="89" t="s">
        <v>187</v>
      </c>
      <c r="D202" s="101" t="s">
        <v>20</v>
      </c>
      <c r="E202" s="91">
        <f t="shared" si="16"/>
        <v>0</v>
      </c>
      <c r="F202" s="141">
        <v>431</v>
      </c>
      <c r="G202" s="92">
        <f t="shared" si="15"/>
        <v>0</v>
      </c>
      <c r="H202" s="93"/>
      <c r="I202" s="94"/>
    </row>
    <row r="203" spans="2:9" ht="12.75">
      <c r="B203" s="1">
        <v>140</v>
      </c>
      <c r="C203" s="89" t="s">
        <v>188</v>
      </c>
      <c r="D203" s="101" t="s">
        <v>20</v>
      </c>
      <c r="E203" s="91">
        <f t="shared" si="16"/>
        <v>0</v>
      </c>
      <c r="F203" s="141">
        <v>252</v>
      </c>
      <c r="G203" s="92">
        <f t="shared" si="15"/>
        <v>0</v>
      </c>
      <c r="H203" s="93"/>
      <c r="I203" s="94"/>
    </row>
    <row r="204" spans="2:9" ht="12.75">
      <c r="B204" s="1">
        <v>141</v>
      </c>
      <c r="C204" s="89" t="s">
        <v>189</v>
      </c>
      <c r="D204" s="101" t="s">
        <v>20</v>
      </c>
      <c r="E204" s="91">
        <f t="shared" si="16"/>
        <v>0</v>
      </c>
      <c r="F204" s="141">
        <v>412</v>
      </c>
      <c r="G204" s="92">
        <f t="shared" si="15"/>
        <v>0</v>
      </c>
      <c r="H204" s="93"/>
      <c r="I204" s="94"/>
    </row>
    <row r="205" spans="2:9" ht="12.75">
      <c r="B205" s="1">
        <v>142</v>
      </c>
      <c r="C205" s="89" t="s">
        <v>190</v>
      </c>
      <c r="D205" s="95" t="s">
        <v>12</v>
      </c>
      <c r="E205" s="91">
        <f t="shared" si="16"/>
        <v>0</v>
      </c>
      <c r="F205" s="141">
        <v>14.5</v>
      </c>
      <c r="G205" s="92">
        <f t="shared" si="15"/>
        <v>0</v>
      </c>
      <c r="H205" s="93"/>
      <c r="I205" s="94"/>
    </row>
    <row r="206" spans="2:9" ht="12.75">
      <c r="B206" s="1">
        <v>143</v>
      </c>
      <c r="C206" s="89" t="s">
        <v>191</v>
      </c>
      <c r="D206" s="101" t="s">
        <v>38</v>
      </c>
      <c r="E206" s="91">
        <f t="shared" si="16"/>
        <v>0</v>
      </c>
      <c r="F206" s="141">
        <v>57</v>
      </c>
      <c r="G206" s="92">
        <f t="shared" si="15"/>
        <v>0</v>
      </c>
      <c r="H206" s="93"/>
      <c r="I206" s="94"/>
    </row>
    <row r="207" spans="2:9" ht="12.75">
      <c r="B207" s="1">
        <v>144</v>
      </c>
      <c r="C207" s="89" t="s">
        <v>192</v>
      </c>
      <c r="D207" s="101" t="s">
        <v>38</v>
      </c>
      <c r="E207" s="91">
        <f t="shared" si="16"/>
        <v>0</v>
      </c>
      <c r="F207" s="141">
        <v>57</v>
      </c>
      <c r="G207" s="92">
        <f t="shared" si="15"/>
        <v>0</v>
      </c>
      <c r="H207" s="93"/>
      <c r="I207" s="94"/>
    </row>
    <row r="208" spans="2:9" ht="12.75">
      <c r="B208" s="1">
        <v>145</v>
      </c>
      <c r="C208" s="89" t="s">
        <v>193</v>
      </c>
      <c r="D208" s="101" t="s">
        <v>20</v>
      </c>
      <c r="E208" s="91">
        <f t="shared" si="16"/>
        <v>0</v>
      </c>
      <c r="F208" s="141">
        <v>177</v>
      </c>
      <c r="G208" s="92">
        <f t="shared" si="15"/>
        <v>0</v>
      </c>
      <c r="H208" s="93"/>
      <c r="I208" s="94"/>
    </row>
    <row r="209" spans="2:9" ht="12.75">
      <c r="B209" s="1">
        <v>146</v>
      </c>
      <c r="C209" s="89" t="s">
        <v>194</v>
      </c>
      <c r="D209" s="101" t="s">
        <v>20</v>
      </c>
      <c r="E209" s="91">
        <f t="shared" si="16"/>
        <v>0</v>
      </c>
      <c r="F209" s="141">
        <v>177</v>
      </c>
      <c r="G209" s="92">
        <f t="shared" si="15"/>
        <v>0</v>
      </c>
      <c r="H209" s="93"/>
      <c r="I209" s="94"/>
    </row>
    <row r="210" spans="2:9" ht="12.75">
      <c r="B210" s="1">
        <v>147</v>
      </c>
      <c r="C210" s="89" t="s">
        <v>195</v>
      </c>
      <c r="D210" s="101" t="s">
        <v>20</v>
      </c>
      <c r="E210" s="91">
        <f t="shared" si="16"/>
        <v>0</v>
      </c>
      <c r="F210" s="141">
        <v>338.26</v>
      </c>
      <c r="G210" s="92">
        <f t="shared" si="15"/>
        <v>0</v>
      </c>
      <c r="H210" s="93"/>
      <c r="I210" s="94"/>
    </row>
    <row r="211" spans="2:9" ht="12.75">
      <c r="B211" s="1">
        <v>148</v>
      </c>
      <c r="C211" s="89" t="s">
        <v>196</v>
      </c>
      <c r="D211" s="101" t="s">
        <v>20</v>
      </c>
      <c r="E211" s="91">
        <f t="shared" si="16"/>
        <v>0</v>
      </c>
      <c r="F211" s="141">
        <v>338.26</v>
      </c>
      <c r="G211" s="92">
        <f t="shared" si="15"/>
        <v>0</v>
      </c>
      <c r="H211" s="93"/>
      <c r="I211" s="94"/>
    </row>
    <row r="212" spans="2:9" ht="12.75">
      <c r="B212" s="1">
        <v>149</v>
      </c>
      <c r="C212" s="89" t="s">
        <v>197</v>
      </c>
      <c r="D212" s="101" t="s">
        <v>20</v>
      </c>
      <c r="E212" s="91">
        <f t="shared" si="16"/>
        <v>0</v>
      </c>
      <c r="F212" s="141">
        <v>177</v>
      </c>
      <c r="G212" s="92">
        <f t="shared" si="15"/>
        <v>0</v>
      </c>
      <c r="H212" s="93"/>
      <c r="I212" s="94"/>
    </row>
    <row r="213" spans="2:9" ht="12.75">
      <c r="B213" s="1">
        <v>150</v>
      </c>
      <c r="C213" s="89" t="s">
        <v>198</v>
      </c>
      <c r="D213" s="101" t="s">
        <v>20</v>
      </c>
      <c r="E213" s="91">
        <f t="shared" si="16"/>
        <v>0</v>
      </c>
      <c r="F213" s="141">
        <v>177</v>
      </c>
      <c r="G213" s="92">
        <f t="shared" si="15"/>
        <v>0</v>
      </c>
      <c r="H213" s="93"/>
      <c r="I213" s="94"/>
    </row>
    <row r="214" spans="2:9" ht="12.75">
      <c r="B214" s="1">
        <v>151</v>
      </c>
      <c r="C214" s="89" t="s">
        <v>199</v>
      </c>
      <c r="D214" s="101" t="s">
        <v>20</v>
      </c>
      <c r="E214" s="91">
        <f t="shared" si="16"/>
        <v>0</v>
      </c>
      <c r="F214" s="141">
        <v>262</v>
      </c>
      <c r="G214" s="92">
        <f t="shared" si="15"/>
        <v>0</v>
      </c>
      <c r="H214" s="93"/>
      <c r="I214" s="94"/>
    </row>
    <row r="215" spans="2:9" ht="12.75">
      <c r="B215" s="1">
        <v>152</v>
      </c>
      <c r="C215" s="89" t="s">
        <v>200</v>
      </c>
      <c r="D215" s="101" t="s">
        <v>20</v>
      </c>
      <c r="E215" s="91">
        <f t="shared" si="16"/>
        <v>0</v>
      </c>
      <c r="F215" s="141">
        <v>262</v>
      </c>
      <c r="G215" s="92">
        <f t="shared" si="15"/>
        <v>0</v>
      </c>
      <c r="H215" s="93"/>
      <c r="I215" s="94"/>
    </row>
    <row r="216" spans="2:9" ht="12.75">
      <c r="B216" s="1">
        <v>153</v>
      </c>
      <c r="C216" s="89" t="s">
        <v>201</v>
      </c>
      <c r="D216" s="108" t="s">
        <v>27</v>
      </c>
      <c r="E216" s="91">
        <f t="shared" si="16"/>
        <v>0</v>
      </c>
      <c r="F216" s="141">
        <v>22050</v>
      </c>
      <c r="G216" s="92">
        <f>H216*F216</f>
        <v>0</v>
      </c>
      <c r="H216" s="112">
        <f>E216*0.00242</f>
        <v>0</v>
      </c>
      <c r="I216" s="94"/>
    </row>
    <row r="217" spans="2:9" ht="12.75">
      <c r="B217" s="1">
        <v>154</v>
      </c>
      <c r="C217" s="89" t="s">
        <v>202</v>
      </c>
      <c r="D217" s="101" t="s">
        <v>19</v>
      </c>
      <c r="E217" s="91">
        <f t="shared" si="16"/>
        <v>0</v>
      </c>
      <c r="F217" s="141">
        <v>35</v>
      </c>
      <c r="G217" s="92">
        <f>E217*F217</f>
        <v>0</v>
      </c>
      <c r="H217" s="93"/>
      <c r="I217" s="94"/>
    </row>
    <row r="218" spans="2:9" ht="12.75">
      <c r="B218" s="1">
        <v>155</v>
      </c>
      <c r="C218" s="89" t="s">
        <v>203</v>
      </c>
      <c r="D218" s="101" t="s">
        <v>19</v>
      </c>
      <c r="E218" s="91">
        <f t="shared" si="16"/>
        <v>0</v>
      </c>
      <c r="F218" s="141">
        <v>22</v>
      </c>
      <c r="G218" s="92">
        <f>E218*F218</f>
        <v>0</v>
      </c>
      <c r="H218" s="93"/>
      <c r="I218" s="94"/>
    </row>
    <row r="219" spans="2:9" ht="12.75">
      <c r="B219" s="1">
        <v>156</v>
      </c>
      <c r="C219" s="89" t="s">
        <v>204</v>
      </c>
      <c r="D219" s="115" t="s">
        <v>167</v>
      </c>
      <c r="E219" s="91">
        <f t="shared" si="16"/>
        <v>0.5808000000000001</v>
      </c>
      <c r="F219" s="141">
        <v>2520</v>
      </c>
      <c r="G219" s="92">
        <f>F219*E219</f>
        <v>1463.6160000000002</v>
      </c>
      <c r="H219" s="93"/>
      <c r="I219" s="94"/>
    </row>
    <row r="220" spans="2:9" ht="12.75">
      <c r="B220" s="1">
        <v>157</v>
      </c>
      <c r="C220" s="89" t="s">
        <v>257</v>
      </c>
      <c r="D220" s="108" t="s">
        <v>13</v>
      </c>
      <c r="E220" s="91">
        <f t="shared" si="16"/>
        <v>1092</v>
      </c>
      <c r="F220" s="141">
        <v>0.7</v>
      </c>
      <c r="G220" s="92">
        <f>E220*F220</f>
        <v>764.4</v>
      </c>
      <c r="H220" s="93"/>
      <c r="I220" s="94"/>
    </row>
    <row r="221" spans="2:9" ht="12.75">
      <c r="B221" s="1">
        <v>157</v>
      </c>
      <c r="C221" s="89" t="s">
        <v>205</v>
      </c>
      <c r="D221" s="108" t="s">
        <v>13</v>
      </c>
      <c r="E221" s="91">
        <f t="shared" si="16"/>
        <v>0</v>
      </c>
      <c r="F221" s="141">
        <v>0.7</v>
      </c>
      <c r="G221" s="92">
        <f>E221*F221</f>
        <v>0</v>
      </c>
      <c r="H221" s="93"/>
      <c r="I221" s="94"/>
    </row>
    <row r="222" spans="2:9" ht="12.75">
      <c r="B222" s="1">
        <v>158</v>
      </c>
      <c r="C222" s="89" t="s">
        <v>206</v>
      </c>
      <c r="D222" s="90" t="s">
        <v>20</v>
      </c>
      <c r="E222" s="91">
        <f t="shared" si="16"/>
        <v>20</v>
      </c>
      <c r="F222" s="141">
        <v>1.1</v>
      </c>
      <c r="G222" s="92">
        <f>E222*F222</f>
        <v>22</v>
      </c>
      <c r="H222" s="93"/>
      <c r="I222" s="94"/>
    </row>
    <row r="223" spans="2:9" ht="12.75">
      <c r="B223" s="1">
        <v>159</v>
      </c>
      <c r="C223" s="89" t="s">
        <v>207</v>
      </c>
      <c r="D223" s="90" t="s">
        <v>20</v>
      </c>
      <c r="E223" s="91">
        <f aca="true" t="shared" si="17" ref="E223:E237">SUMIF($C$5:$C$52,C223,$E$5:$E$52)</f>
        <v>0</v>
      </c>
      <c r="F223" s="141">
        <v>1.5</v>
      </c>
      <c r="G223" s="92">
        <f>E223*F223</f>
        <v>0</v>
      </c>
      <c r="H223" s="93"/>
      <c r="I223" s="94"/>
    </row>
    <row r="224" spans="2:9" ht="12.75">
      <c r="B224" s="1">
        <v>160</v>
      </c>
      <c r="C224" s="89" t="s">
        <v>208</v>
      </c>
      <c r="D224" s="95" t="s">
        <v>15</v>
      </c>
      <c r="E224" s="91">
        <f t="shared" si="17"/>
        <v>0</v>
      </c>
      <c r="F224" s="141">
        <v>24190</v>
      </c>
      <c r="G224" s="92">
        <f aca="true" t="shared" si="18" ref="G224:G229">F224*H224</f>
        <v>0</v>
      </c>
      <c r="H224" s="97">
        <f>E224*0.008595</f>
        <v>0</v>
      </c>
      <c r="I224" s="94"/>
    </row>
    <row r="225" spans="2:9" ht="12.75">
      <c r="B225" s="1">
        <v>161</v>
      </c>
      <c r="C225" s="89" t="s">
        <v>209</v>
      </c>
      <c r="D225" s="95" t="s">
        <v>15</v>
      </c>
      <c r="E225" s="91">
        <f t="shared" si="17"/>
        <v>0</v>
      </c>
      <c r="F225" s="141">
        <v>22160</v>
      </c>
      <c r="G225" s="92">
        <f t="shared" si="18"/>
        <v>0</v>
      </c>
      <c r="H225" s="97">
        <f>E225*0.01042</f>
        <v>0</v>
      </c>
      <c r="I225" s="94"/>
    </row>
    <row r="226" spans="2:9" ht="12.75">
      <c r="B226" s="1">
        <v>162</v>
      </c>
      <c r="C226" s="89" t="s">
        <v>210</v>
      </c>
      <c r="D226" s="95" t="s">
        <v>15</v>
      </c>
      <c r="E226" s="91">
        <f t="shared" si="17"/>
        <v>0</v>
      </c>
      <c r="F226" s="141">
        <v>22270</v>
      </c>
      <c r="G226" s="92">
        <f t="shared" si="18"/>
        <v>0</v>
      </c>
      <c r="H226" s="97">
        <f>E226*0.01229</f>
        <v>0</v>
      </c>
      <c r="I226" s="94"/>
    </row>
    <row r="227" spans="2:9" ht="12.75">
      <c r="B227" s="1">
        <v>163</v>
      </c>
      <c r="C227" s="89" t="s">
        <v>211</v>
      </c>
      <c r="D227" s="95" t="s">
        <v>15</v>
      </c>
      <c r="E227" s="91">
        <f t="shared" si="17"/>
        <v>0</v>
      </c>
      <c r="F227" s="141">
        <v>21960</v>
      </c>
      <c r="G227" s="92">
        <f t="shared" si="18"/>
        <v>0</v>
      </c>
      <c r="H227" s="97">
        <f>E227*0.01422</f>
        <v>0</v>
      </c>
      <c r="I227" s="94"/>
    </row>
    <row r="228" spans="2:9" ht="12.75">
      <c r="B228" s="1">
        <v>164</v>
      </c>
      <c r="C228" s="89" t="s">
        <v>212</v>
      </c>
      <c r="D228" s="95" t="s">
        <v>15</v>
      </c>
      <c r="E228" s="91">
        <f t="shared" si="17"/>
        <v>0</v>
      </c>
      <c r="F228" s="141">
        <v>22460</v>
      </c>
      <c r="G228" s="92">
        <f t="shared" si="18"/>
        <v>0</v>
      </c>
      <c r="H228" s="97">
        <f>E228*0.01626</f>
        <v>0</v>
      </c>
      <c r="I228" s="94"/>
    </row>
    <row r="229" spans="2:9" ht="12.75">
      <c r="B229" s="1">
        <v>165</v>
      </c>
      <c r="C229" s="89" t="s">
        <v>213</v>
      </c>
      <c r="D229" s="95" t="s">
        <v>15</v>
      </c>
      <c r="E229" s="91">
        <f t="shared" si="17"/>
        <v>0</v>
      </c>
      <c r="F229" s="141">
        <v>25300</v>
      </c>
      <c r="G229" s="92">
        <f t="shared" si="18"/>
        <v>0</v>
      </c>
      <c r="H229" s="97">
        <f>E229*0.01837</f>
        <v>0</v>
      </c>
      <c r="I229" s="98"/>
    </row>
    <row r="230" spans="2:9" ht="12.75">
      <c r="B230" s="1">
        <v>166</v>
      </c>
      <c r="C230" s="89" t="s">
        <v>214</v>
      </c>
      <c r="D230" s="108" t="s">
        <v>19</v>
      </c>
      <c r="E230" s="91">
        <f t="shared" si="17"/>
        <v>0</v>
      </c>
      <c r="F230" s="142">
        <v>175</v>
      </c>
      <c r="G230" s="92">
        <f>E230*F230</f>
        <v>0</v>
      </c>
      <c r="H230" s="93"/>
      <c r="I230" s="94"/>
    </row>
    <row r="231" spans="2:9" ht="12.75">
      <c r="B231" s="1">
        <v>167</v>
      </c>
      <c r="C231" s="89" t="s">
        <v>215</v>
      </c>
      <c r="D231" s="108" t="s">
        <v>20</v>
      </c>
      <c r="E231" s="91">
        <f t="shared" si="17"/>
        <v>0</v>
      </c>
      <c r="F231" s="143">
        <v>24</v>
      </c>
      <c r="G231" s="92">
        <f>E231*F231</f>
        <v>0</v>
      </c>
      <c r="H231" s="93"/>
      <c r="I231" s="94"/>
    </row>
    <row r="232" spans="2:9" ht="12.75">
      <c r="B232" s="1">
        <v>168</v>
      </c>
      <c r="C232" s="89" t="s">
        <v>216</v>
      </c>
      <c r="D232" s="90" t="s">
        <v>20</v>
      </c>
      <c r="E232" s="91">
        <f t="shared" si="17"/>
        <v>0</v>
      </c>
      <c r="F232" s="141">
        <v>27</v>
      </c>
      <c r="G232" s="92">
        <f>E232*F232</f>
        <v>0</v>
      </c>
      <c r="H232" s="93"/>
      <c r="I232" s="94"/>
    </row>
    <row r="233" spans="2:9" ht="12.75">
      <c r="B233" s="1">
        <v>169</v>
      </c>
      <c r="C233" s="89" t="s">
        <v>217</v>
      </c>
      <c r="D233" s="90" t="s">
        <v>20</v>
      </c>
      <c r="E233" s="91">
        <f t="shared" si="17"/>
        <v>0</v>
      </c>
      <c r="F233" s="141">
        <v>37</v>
      </c>
      <c r="G233" s="92">
        <f>E233*F233</f>
        <v>0</v>
      </c>
      <c r="H233" s="93"/>
      <c r="I233" s="94"/>
    </row>
    <row r="234" spans="2:9" ht="12.75">
      <c r="B234" s="1">
        <v>170</v>
      </c>
      <c r="C234" s="89" t="s">
        <v>218</v>
      </c>
      <c r="D234" s="95" t="s">
        <v>20</v>
      </c>
      <c r="E234" s="91">
        <f t="shared" si="17"/>
        <v>0</v>
      </c>
      <c r="F234" s="141">
        <v>85</v>
      </c>
      <c r="G234" s="92">
        <f>F234*E234</f>
        <v>0</v>
      </c>
      <c r="H234" s="97"/>
      <c r="I234" s="94"/>
    </row>
    <row r="235" spans="2:9" ht="12.75">
      <c r="B235" s="1">
        <v>170</v>
      </c>
      <c r="C235" s="89" t="s">
        <v>258</v>
      </c>
      <c r="D235" s="95" t="s">
        <v>167</v>
      </c>
      <c r="E235" s="91">
        <f t="shared" si="17"/>
        <v>3.3000000000000007</v>
      </c>
      <c r="F235" s="141">
        <v>650</v>
      </c>
      <c r="G235" s="92">
        <f>F235*E235</f>
        <v>2145.0000000000005</v>
      </c>
      <c r="H235" s="97"/>
      <c r="I235" s="94"/>
    </row>
    <row r="236" spans="2:9" ht="12.75">
      <c r="B236" s="1">
        <v>171</v>
      </c>
      <c r="C236" s="89" t="s">
        <v>219</v>
      </c>
      <c r="D236" s="108" t="s">
        <v>14</v>
      </c>
      <c r="E236" s="91">
        <f t="shared" si="17"/>
        <v>0</v>
      </c>
      <c r="F236" s="141">
        <v>38</v>
      </c>
      <c r="G236" s="92">
        <f>E236*F236</f>
        <v>0</v>
      </c>
      <c r="H236" s="93"/>
      <c r="I236" s="94"/>
    </row>
    <row r="237" spans="2:9" ht="12.75">
      <c r="B237" s="1">
        <v>172</v>
      </c>
      <c r="C237" s="89" t="s">
        <v>220</v>
      </c>
      <c r="D237" s="101" t="s">
        <v>27</v>
      </c>
      <c r="E237" s="91">
        <f t="shared" si="17"/>
        <v>0</v>
      </c>
      <c r="F237" s="141">
        <v>98</v>
      </c>
      <c r="G237" s="92">
        <f>E237*F237</f>
        <v>0</v>
      </c>
      <c r="H237" s="93"/>
      <c r="I237" s="94"/>
    </row>
    <row r="238" spans="3:8" ht="12.75">
      <c r="C238" s="117" t="s">
        <v>221</v>
      </c>
      <c r="D238" s="108"/>
      <c r="E238" s="108"/>
      <c r="F238" s="110"/>
      <c r="G238" s="118">
        <f>SUM(G63:G237)</f>
        <v>148430.21430000002</v>
      </c>
      <c r="H238" s="30"/>
    </row>
    <row r="239" spans="3:8" ht="12.75">
      <c r="C239" s="30"/>
      <c r="D239" s="49"/>
      <c r="E239" s="49"/>
      <c r="F239" s="110"/>
      <c r="G239" s="140"/>
      <c r="H239" s="30"/>
    </row>
    <row r="240" spans="3:8" ht="12.75">
      <c r="C240" s="1"/>
      <c r="D240" s="85"/>
      <c r="E240" s="85"/>
      <c r="G240" s="119"/>
      <c r="H240" s="1"/>
    </row>
    <row r="241" spans="3:10" ht="38.25">
      <c r="C241" s="1"/>
      <c r="D241" s="85"/>
      <c r="E241" s="85"/>
      <c r="G241" s="120">
        <f>(G17+G34+G47+G52-G238)-J241</f>
        <v>0</v>
      </c>
      <c r="H241" s="121" t="s">
        <v>222</v>
      </c>
      <c r="J241" s="162">
        <f>G31+G32+G33+G43+G44+G45</f>
        <v>24103.604824375</v>
      </c>
    </row>
    <row r="242" ht="12.75"/>
    <row r="243" ht="18.75">
      <c r="C243" s="122" t="s">
        <v>253</v>
      </c>
    </row>
    <row r="244" ht="12.75"/>
    <row r="245" ht="12.75"/>
    <row r="246" ht="12.75"/>
    <row r="247" ht="12.75"/>
    <row r="248" ht="12.75"/>
    <row r="250" ht="12.75"/>
  </sheetData>
  <sheetProtection selectLockedCells="1" selectUnlockedCells="1"/>
  <autoFilter ref="B2:N238"/>
  <mergeCells count="1">
    <mergeCell ref="B1:H1"/>
  </mergeCells>
  <printOptions/>
  <pageMargins left="0.25972222222222224" right="0.19027777777777777" top="0.1597222222222222" bottom="0.3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38254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Microsoft Office User</cp:lastModifiedBy>
  <cp:lastPrinted>2017-03-03T15:24:37Z</cp:lastPrinted>
  <dcterms:created xsi:type="dcterms:W3CDTF">2006-07-03T10:55:41Z</dcterms:created>
  <dcterms:modified xsi:type="dcterms:W3CDTF">2019-12-19T13:52:42Z</dcterms:modified>
  <cp:category/>
  <cp:version/>
  <cp:contentType/>
  <cp:contentStatus/>
  <cp:revision>95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Дата рег.">
    <vt:lpwstr>2007-03-20T00:00:00Z</vt:lpwstr>
  </property>
  <property fmtid="{D5CDD505-2E9C-101B-9397-08002B2CF9AE}" pid="3" name="Исполнитель">
    <vt:lpwstr>Нестеренко Н.И.</vt:lpwstr>
  </property>
  <property fmtid="{D5CDD505-2E9C-101B-9397-08002B2CF9AE}" pid="4" name="Оригинал">
    <vt:lpwstr>Нестеренко Н.И.</vt:lpwstr>
  </property>
</Properties>
</file>