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160" tabRatio="768" activeTab="3"/>
  </bookViews>
  <sheets>
    <sheet name="Кровля" sheetId="1" r:id="rId1"/>
    <sheet name="Утепление кровли" sheetId="2" r:id="rId2"/>
    <sheet name="Утепление фасада" sheetId="3" r:id="rId3"/>
    <sheet name="Сводная" sheetId="4" r:id="rId4"/>
  </sheets>
  <definedNames>
    <definedName name="_xlnm._FilterDatabase" localSheetId="1" hidden="1">'Утепление кровли'!$A$2:$I$54</definedName>
    <definedName name="_xlnm._FilterDatabase" localSheetId="2" hidden="1">'Утепление фасада'!$A$2:$I$251</definedName>
    <definedName name="всего_по_акту" localSheetId="1">#REF!</definedName>
    <definedName name="всего_по_акту">#REF!</definedName>
    <definedName name="стоимость_материалов" localSheetId="1">#REF!</definedName>
    <definedName name="стоимость_материалов">#REF!</definedName>
    <definedName name="стоимость_работ" localSheetId="1">#REF!</definedName>
    <definedName name="стоимость_работ">#REF!</definedName>
    <definedName name="Excel_BuiltIn__FilterDatabase_1" localSheetId="1">#REF!</definedName>
    <definedName name="Excel_BuiltIn__FilterDatabase_1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sz val="10"/>
            <rFont val="Arial Cyr"/>
            <family val="2"/>
          </rPr>
          <t xml:space="preserve"> После + лес на крыльца</t>
        </r>
      </text>
    </comment>
    <comment ref="E7" authorId="0">
      <text>
        <r>
          <rPr>
            <sz val="10"/>
            <rFont val="Arial Cyr"/>
            <family val="2"/>
          </rPr>
          <t>После + лес на крыльца</t>
        </r>
      </text>
    </comment>
    <comment ref="C27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Цвета теже что и у IKO Cambrie Express 3,1 м2 в упаковке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http://krepezh.com.ua/soedinitelnyiy-ugolok.html</t>
        </r>
      </text>
    </comment>
    <comment ref="C40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</t>
        </r>
      </text>
    </comment>
    <comment ref="C41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</t>
        </r>
      </text>
    </comment>
    <comment ref="C42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</t>
        </r>
      </text>
    </comment>
    <comment ref="C5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http://ukrstroytrans.prom.ua/p3693215-samorez-krovelnyj.html</t>
        </r>
      </text>
    </comment>
    <comment ref="C74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http://www.aquaizol.ua/praysy/praysy-bitumnaya-cherepitsa</t>
        </r>
      </text>
    </comment>
    <comment ref="C75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http://www.aquaizol.ua/praysy/praysy-bitumnaya-cherepitsa</t>
        </r>
      </text>
    </comment>
    <comment ref="C150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Цвета теже что и у IKO Cambrie Express 3,1 м2 в упаковке</t>
        </r>
      </text>
    </comment>
    <comment ref="C78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Применяем двух видов 9 м.п. по коньку в упаковке:
49 Earthtone Cedar;
53 Dual BrownUltra</t>
        </r>
      </text>
    </comment>
    <comment ref="C113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</t>
        </r>
      </text>
    </comment>
    <comment ref="C114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
расход 0,51кг на 1 м3 бетона</t>
        </r>
      </text>
    </comment>
    <comment ref="C115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</t>
        </r>
      </text>
    </comment>
    <comment ref="C116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</t>
        </r>
      </text>
    </comment>
    <comment ref="C117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</t>
        </r>
      </text>
    </comment>
    <comment ref="C118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Гвозди накатные оценкованные для битумной черепицы длинной 25 мм</t>
        </r>
      </text>
    </comment>
    <comment ref="C120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22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27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28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29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0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http://trotuarnaya-plitka.prom.ua/p1356356-dobavka-dlya-betona.html</t>
        </r>
      </text>
    </comment>
    <comment ref="C13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2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3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4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8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9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2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3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4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5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6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8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Цвета теже что и у IKO Cambrie Express 3,1 м2 в упаковке</t>
        </r>
      </text>
    </comment>
    <comment ref="C180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http://krepezh.com.ua/plastina-perforirovannaya-tip-l.html</t>
        </r>
      </text>
    </comment>
    <comment ref="C18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http://www.aquaizol.ua/praysy/praysy-bitumnaya-cherepitsa</t>
        </r>
      </text>
    </comment>
    <comment ref="C187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http://ukrstroytrans.prom.ua/p3693215-samorez-krovelnyj.html</t>
        </r>
      </text>
    </comment>
    <comment ref="C193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94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95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96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97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http://krepezh.com.ua/soedinitelnyiy-ugolok.html</t>
        </r>
      </text>
    </comment>
    <comment ref="C198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99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0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2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3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7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8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9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0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2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3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4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6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http://www.knaufinsulation.ua/ru/content/037a-034a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3" authorId="0">
      <text>
        <r>
          <rPr>
            <sz val="9"/>
            <color indexed="8"/>
            <rFont val="Tahoma"/>
            <family val="2"/>
          </rPr>
          <t xml:space="preserve">выбирается перед укладкой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40" authorId="0">
      <text>
        <r>
          <rPr>
            <sz val="9"/>
            <color indexed="8"/>
            <rFont val="Tahoma"/>
            <family val="2"/>
          </rPr>
          <t xml:space="preserve">выбирается перед укладкой
</t>
        </r>
      </text>
    </comment>
  </commentList>
</comments>
</file>

<file path=xl/sharedStrings.xml><?xml version="1.0" encoding="utf-8"?>
<sst xmlns="http://schemas.openxmlformats.org/spreadsheetml/2006/main" count="1142" uniqueCount="378">
  <si>
    <t>Ед.изм.</t>
  </si>
  <si>
    <t>м3</t>
  </si>
  <si>
    <t>м.п.</t>
  </si>
  <si>
    <t>шт.</t>
  </si>
  <si>
    <t>кг</t>
  </si>
  <si>
    <t>м.п</t>
  </si>
  <si>
    <t>Итого материалы:</t>
  </si>
  <si>
    <t>Работы:</t>
  </si>
  <si>
    <t>Итого работы:</t>
  </si>
  <si>
    <t>м2</t>
  </si>
  <si>
    <t>шт</t>
  </si>
  <si>
    <t>Работы</t>
  </si>
  <si>
    <t>л</t>
  </si>
  <si>
    <t>Раздел № 2 Отделочные работы по коттеджу</t>
  </si>
  <si>
    <t>Кровля</t>
  </si>
  <si>
    <t>Материалы (основные пиломатериалы)</t>
  </si>
  <si>
    <t>К-во ед.</t>
  </si>
  <si>
    <t>цена за м3</t>
  </si>
  <si>
    <t>сумма за м3</t>
  </si>
  <si>
    <t>м\п</t>
  </si>
  <si>
    <t>м2 поверхности</t>
  </si>
  <si>
    <t>Материалы (дополнительные пиломатериалы)</t>
  </si>
  <si>
    <t>Материалы для устройства кровельного пирога:</t>
  </si>
  <si>
    <t>Площадь кровли</t>
  </si>
  <si>
    <t>см. АР план кровли</t>
  </si>
  <si>
    <t>Площадь утепления кровли</t>
  </si>
  <si>
    <t>Длина конька</t>
  </si>
  <si>
    <t>Длина наклонного конька</t>
  </si>
  <si>
    <t>Длина ендовы</t>
  </si>
  <si>
    <t>Длина подшивы</t>
  </si>
  <si>
    <t>Длина фронтона</t>
  </si>
  <si>
    <t>Периметр ВШ</t>
  </si>
  <si>
    <t>м/п</t>
  </si>
  <si>
    <t>пачек</t>
  </si>
  <si>
    <t>Крепежные материалы:</t>
  </si>
  <si>
    <t>500мм шпильки / м.п. Мауерлата</t>
  </si>
  <si>
    <t>из расчета 160гр сухой смеси на 1 отверстие</t>
  </si>
  <si>
    <t>согласно количеству болтов и шпилек</t>
  </si>
  <si>
    <t>Расход 16 шт на каждую кобылку</t>
  </si>
  <si>
    <t>Расход 5 шт на каждую кобылку</t>
  </si>
  <si>
    <t>16 шт. на 1м2 кровли</t>
  </si>
  <si>
    <t>Уточнить расход</t>
  </si>
  <si>
    <t>Подшива</t>
  </si>
  <si>
    <t>Фронтонная</t>
  </si>
  <si>
    <t>мп</t>
  </si>
  <si>
    <t>Карнизная</t>
  </si>
  <si>
    <t>14шт/м2 карниза, 7 шт /м2 фронтона</t>
  </si>
  <si>
    <t>Расходные материалы</t>
  </si>
  <si>
    <t>ВСЕГО МАТЕРИАЛЫ КРОВЛИ:</t>
  </si>
  <si>
    <t>Работы по устройству пирога кровли (металл, дерево, утеплитель, пленки, ОСБ, подкладочный, гонты, примыкания к вентканалам):</t>
  </si>
  <si>
    <t>Работы по подшиве:</t>
  </si>
  <si>
    <t>м</t>
  </si>
  <si>
    <t>СВОДНАЯ</t>
  </si>
  <si>
    <t>Анкерная смесь церезит СХ5</t>
  </si>
  <si>
    <t>Арматура Ø 8 гладкая А1</t>
  </si>
  <si>
    <t>Арматура Ø 8 периодического профиля А3</t>
  </si>
  <si>
    <t>Арматура Ø 10 гладкая А1</t>
  </si>
  <si>
    <t>Арматура Ø 10 периодического профиля А3</t>
  </si>
  <si>
    <t>Арматура Ø 12 периодического профиля А3</t>
  </si>
  <si>
    <t>Арматура Ø 14 периодического профиля А3</t>
  </si>
  <si>
    <t>Арматура Ø 16 периодического профиля А3</t>
  </si>
  <si>
    <t>Арматура Ø 18 периодического профиля А3</t>
  </si>
  <si>
    <t>Арматура Ø 20 периодического профиля А3</t>
  </si>
  <si>
    <t>Арматура Ø 22 периодического профиля А3</t>
  </si>
  <si>
    <t>Арматура Ø 25 периодического профиля А3</t>
  </si>
  <si>
    <t>Арматура Ø 28 периодического профиля А3</t>
  </si>
  <si>
    <t>Аэратор конек. Размер: 1220 x 280 x 34</t>
  </si>
  <si>
    <t>Аэратор точечный СПЕЦ. Размер: 420 х 300 х 60</t>
  </si>
  <si>
    <t>Бетон В15 (М200)</t>
  </si>
  <si>
    <t>Бетон В20 (М250)</t>
  </si>
  <si>
    <t>Битумная коньково-карнизная черепица ТЕХНОНИЛОЛЬ</t>
  </si>
  <si>
    <t>Брус 50х50х4000</t>
  </si>
  <si>
    <t>Брус 50х100х4000</t>
  </si>
  <si>
    <t>Брус 50х100х4500</t>
  </si>
  <si>
    <t>Брус 50х100х6000</t>
  </si>
  <si>
    <t>Брус 50х150х4000</t>
  </si>
  <si>
    <t>Брус 50х150х4500</t>
  </si>
  <si>
    <t>Брус 50х150х6000</t>
  </si>
  <si>
    <t>Брус 50х200х4000</t>
  </si>
  <si>
    <t>Брус 50х200х4500</t>
  </si>
  <si>
    <t>Брус 50х200х6000</t>
  </si>
  <si>
    <t>Брус 100х100х4000</t>
  </si>
  <si>
    <t>Брус 100х100х4500</t>
  </si>
  <si>
    <t>Брус 100х150х4000</t>
  </si>
  <si>
    <t>Брус 100х150х4500</t>
  </si>
  <si>
    <t>Брус 100х150х6000</t>
  </si>
  <si>
    <t>Брус 100х200х4000</t>
  </si>
  <si>
    <t>Брус 100х200х4500</t>
  </si>
  <si>
    <t>Брус 100х200х6000</t>
  </si>
  <si>
    <t>Брус 150х150х4000</t>
  </si>
  <si>
    <t>Брус 150х150х4500</t>
  </si>
  <si>
    <t>Брус 150х150х6000</t>
  </si>
  <si>
    <t>Брус 150х200х4000</t>
  </si>
  <si>
    <t>Брус 150х200х4500</t>
  </si>
  <si>
    <t>Брус 150х200х6000</t>
  </si>
  <si>
    <t>Брус 200х200х4000</t>
  </si>
  <si>
    <t>Брус 200х200х4500</t>
  </si>
  <si>
    <t>Брус 200х200х6000</t>
  </si>
  <si>
    <t>Брус 200х250х4000</t>
  </si>
  <si>
    <t>Брус 200х250х4500</t>
  </si>
  <si>
    <t>Брус 200х250х6000</t>
  </si>
  <si>
    <t>Гайка М10. Для шпилек.</t>
  </si>
  <si>
    <t>Гайка М12. Для шпилек.</t>
  </si>
  <si>
    <t>Гайка М14. Для шпилек.</t>
  </si>
  <si>
    <t>Гвозди К 4,0X100 ГОСТ 4028—63</t>
  </si>
  <si>
    <t>Гвозди К 5,0X120 ГОСТ 4028—63</t>
  </si>
  <si>
    <t>Гвозди К 5,0X150 ГОСТ 4028—63</t>
  </si>
  <si>
    <t>Гвозди К 6,0X200 ГОСТ 4028—63</t>
  </si>
  <si>
    <t>Гвозди оцинкованные 25 мм.</t>
  </si>
  <si>
    <t>Грунтовка ГФ - 021 красно-коричневая</t>
  </si>
  <si>
    <t>Держатель желоба пластиковый PROFIL Ø 130/100</t>
  </si>
  <si>
    <t>Держатель трубы металл. L-160 PROFIL Ø 130/100</t>
  </si>
  <si>
    <t>Держатель желоба пластиковый PROFIL Ø 90/75</t>
  </si>
  <si>
    <t>Держатель трубы металл. L-160 PROFIL Ø 90/75</t>
  </si>
  <si>
    <t>Доска 25х100х4000</t>
  </si>
  <si>
    <t>Доска 25х200х4000</t>
  </si>
  <si>
    <t>Евробарьер (75 м2)  Fakro EUROTOP L2 (плотность 90 г/м2)</t>
  </si>
  <si>
    <t>Ендовный ковер</t>
  </si>
  <si>
    <t>Желоб PROFIL 3м, Ø 130/100</t>
  </si>
  <si>
    <t>Желоб PROFIL 3м, Ø 90/75</t>
  </si>
  <si>
    <t>Жидкое мыло</t>
  </si>
  <si>
    <t>кг.</t>
  </si>
  <si>
    <t>Заглушка желоба Р PROFIL Ø 130/100</t>
  </si>
  <si>
    <t>Заглушка желоба L PROFIL Ø 130/100</t>
  </si>
  <si>
    <t>Заглушка желоба Р PROFIL Ø 90/75</t>
  </si>
  <si>
    <t>Заглушка желоба L PROFIL Ø 90/75</t>
  </si>
  <si>
    <t>Карнизная планка (капельник). Металл RUUKKI цвет RR32</t>
  </si>
  <si>
    <t>Кирпич керамический полуторный полнотелый, размеры 250х120х88 мм, марка М125</t>
  </si>
  <si>
    <t>Кирпич керамический одинарный полнотелый, размеры 250х120х65 мм, марка М125</t>
  </si>
  <si>
    <t>Колено 60° PROFIL Ø 130/100</t>
  </si>
  <si>
    <t>Колено 60° PROFIL Ø 90/75</t>
  </si>
  <si>
    <t>Лента К2</t>
  </si>
  <si>
    <t>Ливнеприемник проходной PROFIL Ø 130/100</t>
  </si>
  <si>
    <t>Ливнеприемник L PROFIL Ø 130/100</t>
  </si>
  <si>
    <t>Ливнеприемник P PROFIL Ø 130/100</t>
  </si>
  <si>
    <t>Ливнеприемник проходной PROFIL Ø 90/75</t>
  </si>
  <si>
    <t>Ливнеприемник L PROFIL Ø 90/75</t>
  </si>
  <si>
    <t>Ливнеприемник P PROFIL Ø 90/75</t>
  </si>
  <si>
    <t>Лист металлический толщина 10мм</t>
  </si>
  <si>
    <t>Мастика кровельная ТЕХНОНИКОЛЬ №21</t>
  </si>
  <si>
    <t xml:space="preserve">Металлический лист  RUUKI t=0,5 мм, размеры ширина 1250 мм х длина до 10 м.п. в рулоне цвет RR32, RAL 8017 темно - коричневый </t>
  </si>
  <si>
    <t>Огнебиозащита Страж-2 БС-13 сухая смесь 3 кг.</t>
  </si>
  <si>
    <t>OSB 2500*1250*12 Kronospan</t>
  </si>
  <si>
    <t>Паробарьер прозрачный 100 Южная Корея (плотность 100 г/м2)  75 м2 в рулоне</t>
  </si>
  <si>
    <t>Пена монтажная SOMAFIKS</t>
  </si>
  <si>
    <t>балл.</t>
  </si>
  <si>
    <t>Перемычка 2ПБ 13-1п</t>
  </si>
  <si>
    <t>Перемычка 2ПБ16-2-п</t>
  </si>
  <si>
    <t>Перемычка 2ПБ 17-2п</t>
  </si>
  <si>
    <t>Перемычка 3ПБ 13-37п</t>
  </si>
  <si>
    <t>Перемычка 3ПБ 16-37п</t>
  </si>
  <si>
    <t>Перемычка 3ПБ 18-8п</t>
  </si>
  <si>
    <t>Перемычка 3ПБ 18-37п</t>
  </si>
  <si>
    <t>Перемычка 3ПБ 21-8п</t>
  </si>
  <si>
    <t>Перемычка 3ПБ 25-8п</t>
  </si>
  <si>
    <t>Перемычка 3ПБ 27-8п</t>
  </si>
  <si>
    <t>Перемычка 3ПБ 30-8п</t>
  </si>
  <si>
    <t>Перемычка 3ПБ 34-4п</t>
  </si>
  <si>
    <t>Перемычка 3ПБ 36-4п</t>
  </si>
  <si>
    <t>Перемычка 5ПБ16-27-п</t>
  </si>
  <si>
    <t>Перемычка 5ПБ 18-27п</t>
  </si>
  <si>
    <r>
      <t xml:space="preserve">Перемычка </t>
    </r>
    <r>
      <rPr>
        <sz val="10"/>
        <color indexed="8"/>
        <rFont val="Arial"/>
        <family val="2"/>
      </rPr>
      <t>5ПБ21-27-п</t>
    </r>
  </si>
  <si>
    <r>
      <t xml:space="preserve">Перемычка </t>
    </r>
    <r>
      <rPr>
        <sz val="10"/>
        <color indexed="8"/>
        <rFont val="Arial"/>
        <family val="2"/>
      </rPr>
      <t>5ПБ25-27-п</t>
    </r>
  </si>
  <si>
    <t>Перемычка 5ПБ 27-37п</t>
  </si>
  <si>
    <t>Перемычка 5ПБ30-20-п</t>
  </si>
  <si>
    <t>Перемычка 5ПБ 32-20п</t>
  </si>
  <si>
    <t>Перемычка 5ПБ34-20-п</t>
  </si>
  <si>
    <t>Перемычка 5ПБ36-20-п</t>
  </si>
  <si>
    <t>Песок (местный)</t>
  </si>
  <si>
    <t>т</t>
  </si>
  <si>
    <t>Пластина 40 мм. Металл RUUKI цвет RR32</t>
  </si>
  <si>
    <t>Пластина перфорированная тип L 3х200х30 мм.</t>
  </si>
  <si>
    <t>Подкладочный ковёр Акваизол ПЭ-1,5</t>
  </si>
  <si>
    <t>Проволка вязальная ТО 1,2 мм</t>
  </si>
  <si>
    <t>Профнастил облицовочный С -15. Металл RUUKI цвет RR32</t>
  </si>
  <si>
    <t>Рейка 50х25х3000</t>
  </si>
  <si>
    <t>Решетка вентияционная, металлическая RAL 8019 коричневый.</t>
  </si>
  <si>
    <t>Рубероид</t>
  </si>
  <si>
    <t>Саморез кровельный по дереву 4,8х60 RAL 8019</t>
  </si>
  <si>
    <t>Саморез 5*40 Оцинкованный</t>
  </si>
  <si>
    <t>Саморез 3,5*35</t>
  </si>
  <si>
    <t>Саморез 3,5*55</t>
  </si>
  <si>
    <t>Саморез 3,5*75</t>
  </si>
  <si>
    <t>Сетка стальная сварная неоцинкованная (кладочная), проволка 3 мм, размер 0,25 м х 2 м,  ячейка 50 х 50 мм.</t>
  </si>
  <si>
    <t>Соединитель водосточной трубы PROFIL Ø 130/100</t>
  </si>
  <si>
    <t>Соединитель водосточной трубы PROFIL Ø 9075</t>
  </si>
  <si>
    <t>Соединитель желоба с вкладкой PROFIL Ø 130/100</t>
  </si>
  <si>
    <t>Соединитель желоба с вкладкой PROFIL Ø 90/75</t>
  </si>
  <si>
    <t>Тройник 67° PROFIL Ø 130/100</t>
  </si>
  <si>
    <t>Тройник 67° PROFIL Ø 90/75</t>
  </si>
  <si>
    <t>Труба водосточная PROFIL 3м, Ø 130/100</t>
  </si>
  <si>
    <t>Труба водосточная PROFIL 4м, Ø 130/100</t>
  </si>
  <si>
    <t>Труба водосточная PROFIL 3м, Ø  90/75</t>
  </si>
  <si>
    <t>Труба водосточная PROFIL 4м, Ø 90/75</t>
  </si>
  <si>
    <t>Труба пластиковая Ø 40</t>
  </si>
  <si>
    <t>Угол внутренний 40х40 мм. Металл RUUKI цвет RR32</t>
  </si>
  <si>
    <t>Угол наружный 40х40 мм. Металл RUUKI цвет RR32</t>
  </si>
  <si>
    <t>Угол внутренний Z 90 PROFIL Ø 130/100</t>
  </si>
  <si>
    <t>Угол наружный Z 90 PROFIL Ø 130/100</t>
  </si>
  <si>
    <t>Угол внутренний Z 135 PROFIL Ø 130/100</t>
  </si>
  <si>
    <t>Угол наружный Z 135 PROFIL Ø 130/100</t>
  </si>
  <si>
    <t>Угол внутренний Z 90 PROFIL Ø 90/75</t>
  </si>
  <si>
    <t>Угол наружный Z 90 PROFIL Ø 90/75</t>
  </si>
  <si>
    <t>Угол внутренний Z 135 PROFIL Ø 90/75</t>
  </si>
  <si>
    <t>Угол наружный Z 135 PROFIL Ø 90/75</t>
  </si>
  <si>
    <t>Уголок стальной (сталь угловая) 40х40 мм.</t>
  </si>
  <si>
    <t>Утеплитель для кровли Профитеп (в толщине 50 мм.)</t>
  </si>
  <si>
    <t>Фронтонная планка. Металл RUUKI цвет RR32</t>
  </si>
  <si>
    <t>Цемент М400</t>
  </si>
  <si>
    <t>Шайба плоская увеличенная DIN 440 (М10 34х3 мм.) Для шурупов и шпилек.</t>
  </si>
  <si>
    <t>Шайба плоская увеличенная DIN 440 (М12 45х4 мм.) Для шурупов и шпилек.</t>
  </si>
  <si>
    <t>Шайба плоская увеличенная DIN 440 (М14 60х4 мм.) Для шурупов и шпилек.</t>
  </si>
  <si>
    <t>Швеллер 10П</t>
  </si>
  <si>
    <t>Швеллер 12П</t>
  </si>
  <si>
    <t>Швеллер 14П</t>
  </si>
  <si>
    <t>Швеллер 16П</t>
  </si>
  <si>
    <t>Швеллер 18П</t>
  </si>
  <si>
    <t>Швеллер 20П</t>
  </si>
  <si>
    <t>Шифер плоский размер 10х1000х1500</t>
  </si>
  <si>
    <t>Шпилька Ø 10х1000 мм</t>
  </si>
  <si>
    <t>Шпилька Ø 12х1000 мм</t>
  </si>
  <si>
    <t>Шпилька Ø 14х1000 мм</t>
  </si>
  <si>
    <t>Шпилька Ø 16х1000 мм</t>
  </si>
  <si>
    <t xml:space="preserve">Электроды МР-3 Ø 3мм </t>
  </si>
  <si>
    <t>L-образная планка 200 мм. Металл RUUKI цвет RR32</t>
  </si>
  <si>
    <t>Итого материалы всего сводная:</t>
  </si>
  <si>
    <t>СМЕТА ФАСАДА</t>
  </si>
  <si>
    <t>Кол-во</t>
  </si>
  <si>
    <t>Наименование материалов</t>
  </si>
  <si>
    <t>К-во в упаковке</t>
  </si>
  <si>
    <t>Расход на Ед.Изм.</t>
  </si>
  <si>
    <t>кол-во упаковок</t>
  </si>
  <si>
    <t>Цена упаковки</t>
  </si>
  <si>
    <t>СУММА</t>
  </si>
  <si>
    <t>площадь основного фасада 50мм</t>
  </si>
  <si>
    <t>периметр откосов общий</t>
  </si>
  <si>
    <t>длина отливов</t>
  </si>
  <si>
    <t>длина наружных углов основного фасада</t>
  </si>
  <si>
    <t>длина внутренних углов основного фасада</t>
  </si>
  <si>
    <t>Упаковка</t>
  </si>
  <si>
    <t>Расход на кв.м.</t>
  </si>
  <si>
    <t>Итого стоимость материалов:</t>
  </si>
  <si>
    <t>площадь отделки ВШ</t>
  </si>
  <si>
    <t>длина наружных горизонтальных углов ВШ</t>
  </si>
  <si>
    <t>длина наружных вертикальных углов ВШ</t>
  </si>
  <si>
    <t>В</t>
  </si>
  <si>
    <t>СВОДНАЯ МАТЕРИАЛЫ</t>
  </si>
  <si>
    <t>Ед.Изм.</t>
  </si>
  <si>
    <t>К-во Упаковок</t>
  </si>
  <si>
    <t>Стоимость ед.изм.</t>
  </si>
  <si>
    <t>Герметик Soudal FIX ALL CLASSIC (коричневый) объем тюбика 290 мл</t>
  </si>
  <si>
    <t>тюб.</t>
  </si>
  <si>
    <t>Гидроизоляция двухкомпонентная Hidrostop Elastic/ (20+8)</t>
  </si>
  <si>
    <t>Грунт кварцевый на силиконовой основе - Kematerm Grund 210</t>
  </si>
  <si>
    <t>Грунт глубокопроникающий Unigrund Unikem</t>
  </si>
  <si>
    <r>
      <t xml:space="preserve">Дюбель 10*120   </t>
    </r>
    <r>
      <rPr>
        <sz val="12"/>
        <rFont val="Arial"/>
        <family val="2"/>
      </rPr>
      <t>(металлический стержень + термоголовка)</t>
    </r>
  </si>
  <si>
    <t>Дюбель 10*120 с пластиковым гвоздем</t>
  </si>
  <si>
    <r>
      <t xml:space="preserve">Дюбель 10*180   </t>
    </r>
    <r>
      <rPr>
        <sz val="12"/>
        <rFont val="Arial"/>
        <family val="2"/>
      </rPr>
      <t>(металлический стержень + термоголовка)</t>
    </r>
  </si>
  <si>
    <t>Дюбель 10*180 с пластиковым гвоздем</t>
  </si>
  <si>
    <t>Дюбель 10*270 с пластиковым гвоздем</t>
  </si>
  <si>
    <t xml:space="preserve">Затирка Mapei Ultracolor Plus </t>
  </si>
  <si>
    <t xml:space="preserve">Карнизная планка (капельник). Металл RUUKI цвет RR32, RAL 8017 коричневый </t>
  </si>
  <si>
    <t>Клей для армирования пеностирольных и минватных плит Dops MultiFix</t>
  </si>
  <si>
    <t>Клей для приклеивания пенополистирольных и минватных плит Dops ThermFix</t>
  </si>
  <si>
    <t>Клей для плитки и натурального камня ПП-012 серый</t>
  </si>
  <si>
    <t xml:space="preserve">Краска AKRYLATEX </t>
  </si>
  <si>
    <t>Микрофибра</t>
  </si>
  <si>
    <t xml:space="preserve">Пенополистирол 25П d=30мм 16кг/м3 </t>
  </si>
  <si>
    <t xml:space="preserve">Пенополистирол 25П d=40мм 16кг/м3 </t>
  </si>
  <si>
    <t xml:space="preserve">Пенополистирол 25П d=50мм 16кг/м3 </t>
  </si>
  <si>
    <t xml:space="preserve">Пенополистирол 25П d=60мм 16кг/м3 </t>
  </si>
  <si>
    <t xml:space="preserve">Пенополистирол 25П d=100мм 16кг/м3 </t>
  </si>
  <si>
    <t xml:space="preserve">Пенополистирол 25П 16кг/м3 </t>
  </si>
  <si>
    <t>Пенополистирол экструдия d=50мм</t>
  </si>
  <si>
    <t>Песок речной</t>
  </si>
  <si>
    <t>Песчанник</t>
  </si>
  <si>
    <t>Пластификатор  SikaPlast®-520</t>
  </si>
  <si>
    <t>Плитка керамическая (выбор непосредственно перед укладкой)</t>
  </si>
  <si>
    <t>Приоконная планка 2,5м</t>
  </si>
  <si>
    <t>Сетка стальная сварная неоцинкованная (дорожная), проволка 2,8 мм, размер 1,0 м х 2 м,  ячейка 50 х 50 мм.(на стяжку)</t>
  </si>
  <si>
    <r>
      <t xml:space="preserve">Стеклосетка армированная 160 </t>
    </r>
    <r>
      <rPr>
        <sz val="12"/>
        <rFont val="Arial"/>
        <family val="2"/>
      </rPr>
      <t>Politem</t>
    </r>
  </si>
  <si>
    <t>Стеклосетка армированная 145 Fiberglass</t>
  </si>
  <si>
    <t>Угол перфорированный пластиковый без сетки</t>
  </si>
  <si>
    <t>Угол ПВХ 2,6м с сеткой 10*15 см VIP</t>
  </si>
  <si>
    <t>Штукатурка силиконовая Baumit Silikon Top 2,0 мм барашек, 25кг</t>
  </si>
  <si>
    <t>Штукатурка силиконовая Baumit Silikon Top 3,0 мм короед, 25кг</t>
  </si>
  <si>
    <t>Щебень фракц. 20-40 мм</t>
  </si>
  <si>
    <t>ИТОГО МАТЕРИАЛОВ</t>
  </si>
  <si>
    <t>ИТОГО МАТЕРИАЛЫ ПО РАЗДЕЛАМ</t>
  </si>
  <si>
    <t>ПРОВЕРКА</t>
  </si>
  <si>
    <t>А</t>
  </si>
  <si>
    <t>стоимость работ</t>
  </si>
  <si>
    <t>ВСЕГО</t>
  </si>
  <si>
    <t>1 — 6</t>
  </si>
  <si>
    <t>6 — 1</t>
  </si>
  <si>
    <t>А — Г</t>
  </si>
  <si>
    <t>Г — А</t>
  </si>
  <si>
    <t>ФАСАД</t>
  </si>
  <si>
    <t>площадь основного фасада 80мм</t>
  </si>
  <si>
    <t>площадь основного фасада 100мм</t>
  </si>
  <si>
    <t>площадь основного фасада 120мм</t>
  </si>
  <si>
    <t>площадь основного фасада 140мм</t>
  </si>
  <si>
    <t>площадь основного фасада ВТОРЫМ ЦВЕТОМ</t>
  </si>
  <si>
    <t>площадь фасада без дек. штукатурки</t>
  </si>
  <si>
    <t>площадь декор-элементов (проекция)</t>
  </si>
  <si>
    <t>площадь декор-элементов (проекция) ВТОРЫМ ЦВЕТОМ</t>
  </si>
  <si>
    <t>периметр декор-элементов</t>
  </si>
  <si>
    <t>периметр декор-элементов ВТОРЫМ ЦВЕТОМ</t>
  </si>
  <si>
    <t>длина пояса 1</t>
  </si>
  <si>
    <t>длина пояса 2</t>
  </si>
  <si>
    <t>общая длина видимого сечения пояса 1</t>
  </si>
  <si>
    <t>общая длина видимого сечения пояса 2</t>
  </si>
  <si>
    <t>периметр откосов вторым цветом</t>
  </si>
  <si>
    <t>толщина бетонной колонны из песч.</t>
  </si>
  <si>
    <t>площадь отделки колонн песч.</t>
  </si>
  <si>
    <t>высота колонны из песч.</t>
  </si>
  <si>
    <t>количество колонн</t>
  </si>
  <si>
    <t>площадь отделки цоколя песч.</t>
  </si>
  <si>
    <t>длина отделки цоколя песч.</t>
  </si>
  <si>
    <t>ФК1</t>
  </si>
  <si>
    <t>ФК2</t>
  </si>
  <si>
    <t>ФБ1</t>
  </si>
  <si>
    <t>ФБ2</t>
  </si>
  <si>
    <t>ОТДЕЛКА ФАСАДА 100мм ППС</t>
  </si>
  <si>
    <t>НАНЕСЕНИЕ ДЕКОРАТИВНОЙ ШТУКАТУРКИ «КОРОЕД» ЦВЕТ.... (ФК1)</t>
  </si>
  <si>
    <t>НАНЕСЕНИЕ ДЕКОРАТИВНОЙ ШТУКАТУРКИ «КОРОЕД» ЦВЕТ.... (ФК2)</t>
  </si>
  <si>
    <t>НАНЕСЕНИЕ ДЕКОРАТИВНОЙ ШТУКАТУРКИ «БАРАШЕК» ЦВЕТ.... (ФБ1)</t>
  </si>
  <si>
    <t>НАНЕСЕНИЕ ДЕКОРАТИВНОЙ ШТУКАТУРКИ «БАРАШЕК» ЦВЕТ.... (ФБ2)</t>
  </si>
  <si>
    <r>
      <t xml:space="preserve">L </t>
    </r>
    <r>
      <rPr>
        <b/>
        <vertAlign val="subscript"/>
        <sz val="18"/>
        <color indexed="8"/>
        <rFont val="Arial Cyr"/>
        <family val="2"/>
      </rPr>
      <t xml:space="preserve">участки </t>
    </r>
    <r>
      <rPr>
        <b/>
        <u val="single"/>
        <vertAlign val="subscript"/>
        <sz val="18"/>
        <color indexed="8"/>
        <rFont val="Arial Cyr"/>
        <family val="2"/>
      </rPr>
      <t>уже 500мм</t>
    </r>
    <r>
      <rPr>
        <b/>
        <vertAlign val="subscript"/>
        <sz val="18"/>
        <rFont val="Arial Cyr"/>
        <family val="2"/>
      </rPr>
      <t xml:space="preserve"> под нанесение пенопласта</t>
    </r>
  </si>
  <si>
    <t>----</t>
  </si>
  <si>
    <r>
      <t>S</t>
    </r>
    <r>
      <rPr>
        <b/>
        <sz val="18"/>
        <rFont val="Arial Cyr"/>
        <family val="2"/>
      </rPr>
      <t xml:space="preserve"> </t>
    </r>
    <r>
      <rPr>
        <b/>
        <vertAlign val="subscript"/>
        <sz val="18"/>
        <color indexed="8"/>
        <rFont val="Arial Cyr"/>
        <family val="2"/>
      </rPr>
      <t xml:space="preserve">участки </t>
    </r>
    <r>
      <rPr>
        <b/>
        <u val="single"/>
        <vertAlign val="subscript"/>
        <sz val="18"/>
        <color indexed="8"/>
        <rFont val="Arial Cyr"/>
        <family val="2"/>
      </rPr>
      <t>уже 500мм</t>
    </r>
    <r>
      <rPr>
        <b/>
        <vertAlign val="subscript"/>
        <sz val="18"/>
        <rFont val="Arial Cyr"/>
        <family val="2"/>
      </rPr>
      <t xml:space="preserve"> под нанесение пенопласта</t>
    </r>
  </si>
  <si>
    <r>
      <t xml:space="preserve">L </t>
    </r>
    <r>
      <rPr>
        <b/>
        <vertAlign val="subscript"/>
        <sz val="18"/>
        <rFont val="Arial Cyr"/>
        <family val="2"/>
      </rPr>
      <t xml:space="preserve">участки </t>
    </r>
    <r>
      <rPr>
        <b/>
        <u val="single"/>
        <vertAlign val="subscript"/>
        <sz val="18"/>
        <rFont val="Arial Cyr"/>
        <family val="2"/>
      </rPr>
      <t>уже 500мм</t>
    </r>
    <r>
      <rPr>
        <b/>
        <vertAlign val="subscript"/>
        <sz val="18"/>
        <rFont val="Arial Cyr"/>
        <family val="2"/>
      </rPr>
      <t xml:space="preserve"> под нанесение дек.штук.</t>
    </r>
  </si>
  <si>
    <r>
      <t xml:space="preserve">S </t>
    </r>
    <r>
      <rPr>
        <b/>
        <vertAlign val="subscript"/>
        <sz val="18"/>
        <rFont val="Arial Cyr"/>
        <family val="2"/>
      </rPr>
      <t xml:space="preserve">участки </t>
    </r>
    <r>
      <rPr>
        <b/>
        <u val="single"/>
        <vertAlign val="subscript"/>
        <sz val="18"/>
        <rFont val="Arial Cyr"/>
        <family val="2"/>
      </rPr>
      <t>уже 500мм</t>
    </r>
    <r>
      <rPr>
        <b/>
        <vertAlign val="subscript"/>
        <sz val="18"/>
        <rFont val="Arial Cyr"/>
        <family val="2"/>
      </rPr>
      <t xml:space="preserve"> под нанесение дек.штук</t>
    </r>
  </si>
  <si>
    <r>
      <t xml:space="preserve">S </t>
    </r>
    <r>
      <rPr>
        <b/>
        <vertAlign val="subscript"/>
        <sz val="16"/>
        <rFont val="Arial Cyr"/>
        <family val="2"/>
      </rPr>
      <t>площадь</t>
    </r>
    <r>
      <rPr>
        <b/>
        <vertAlign val="subscript"/>
        <sz val="18"/>
        <rFont val="Arial Cyr"/>
        <family val="2"/>
      </rPr>
      <t xml:space="preserve"> отделки фасада пенопластом (БЕЗ ОКОННЫХ/ДВЕРНЫХ ОТКОСОВ)</t>
    </r>
  </si>
  <si>
    <r>
      <t xml:space="preserve">S </t>
    </r>
    <r>
      <rPr>
        <b/>
        <vertAlign val="subscript"/>
        <sz val="16"/>
        <rFont val="Arial Cyr"/>
        <family val="2"/>
      </rPr>
      <t>площадь</t>
    </r>
    <r>
      <rPr>
        <b/>
        <vertAlign val="subscript"/>
        <sz val="18"/>
        <rFont val="Arial Cyr"/>
        <family val="2"/>
      </rPr>
      <t xml:space="preserve"> отделки фасада дек.штук.</t>
    </r>
    <r>
      <rPr>
        <b/>
        <vertAlign val="subscript"/>
        <sz val="18"/>
        <color indexed="8"/>
        <rFont val="Arial Cyr"/>
        <family val="2"/>
      </rPr>
      <t>(БЕЗ ОКОННЫХ/ДВЕРНЫХ ОТКОСОВ И ТОРЦЕВ ДЕК.ЭЛ)</t>
    </r>
  </si>
  <si>
    <r>
      <t xml:space="preserve">S </t>
    </r>
    <r>
      <rPr>
        <b/>
        <vertAlign val="subscript"/>
        <sz val="16"/>
        <rFont val="Arial Cyr"/>
        <family val="2"/>
      </rPr>
      <t>площадь</t>
    </r>
    <r>
      <rPr>
        <b/>
        <vertAlign val="subscript"/>
        <sz val="18"/>
        <rFont val="Arial Cyr"/>
        <family val="2"/>
      </rPr>
      <t xml:space="preserve"> фасада </t>
    </r>
    <r>
      <rPr>
        <b/>
        <u val="single"/>
        <vertAlign val="subscript"/>
        <sz val="18"/>
        <rFont val="Arial Cyr"/>
        <family val="2"/>
      </rPr>
      <t>БЕЗ</t>
    </r>
    <r>
      <rPr>
        <b/>
        <vertAlign val="subscript"/>
        <sz val="18"/>
        <rFont val="Arial Cyr"/>
        <family val="2"/>
      </rPr>
      <t xml:space="preserve"> дек.штук.</t>
    </r>
  </si>
  <si>
    <r>
      <t>L</t>
    </r>
    <r>
      <rPr>
        <b/>
        <vertAlign val="subscript"/>
        <sz val="16"/>
        <rFont val="Arial Cyr"/>
        <family val="2"/>
      </rPr>
      <t xml:space="preserve"> длина </t>
    </r>
    <r>
      <rPr>
        <b/>
        <vertAlign val="subscript"/>
        <sz val="18"/>
        <color indexed="8"/>
        <rFont val="Arial Cyr"/>
        <family val="2"/>
      </rPr>
      <t>оконных/дверных</t>
    </r>
    <r>
      <rPr>
        <b/>
        <vertAlign val="subscript"/>
        <sz val="16"/>
        <rFont val="Arial Cyr"/>
        <family val="2"/>
      </rPr>
      <t xml:space="preserve"> откосов</t>
    </r>
    <r>
      <rPr>
        <b/>
        <sz val="16"/>
        <rFont val="Arial Cyr"/>
        <family val="2"/>
      </rPr>
      <t xml:space="preserve"> </t>
    </r>
    <r>
      <rPr>
        <b/>
        <vertAlign val="subscript"/>
        <sz val="18"/>
        <rFont val="Arial Cyr"/>
        <family val="2"/>
      </rPr>
      <t>.</t>
    </r>
  </si>
  <si>
    <r>
      <t xml:space="preserve">S </t>
    </r>
    <r>
      <rPr>
        <b/>
        <vertAlign val="subscript"/>
        <sz val="18"/>
        <rFont val="Arial Cyr"/>
        <family val="2"/>
      </rPr>
      <t>площадь оконных/дверных откосов</t>
    </r>
  </si>
  <si>
    <r>
      <t>L</t>
    </r>
    <r>
      <rPr>
        <b/>
        <vertAlign val="subscript"/>
        <sz val="16"/>
        <rFont val="Arial Cyr"/>
        <family val="2"/>
      </rPr>
      <t xml:space="preserve"> граней колонн</t>
    </r>
  </si>
  <si>
    <r>
      <t>L</t>
    </r>
    <r>
      <rPr>
        <b/>
        <vertAlign val="subscript"/>
        <sz val="16"/>
        <rFont val="Arial Cyr"/>
        <family val="2"/>
      </rPr>
      <t xml:space="preserve"> периметр декор-элементов</t>
    </r>
  </si>
  <si>
    <r>
      <t>L</t>
    </r>
    <r>
      <rPr>
        <b/>
        <vertAlign val="subscript"/>
        <sz val="16"/>
        <rFont val="Arial Cyr"/>
        <family val="2"/>
      </rPr>
      <t xml:space="preserve"> длина декор-элементов</t>
    </r>
  </si>
  <si>
    <r>
      <t xml:space="preserve">S </t>
    </r>
    <r>
      <rPr>
        <b/>
        <vertAlign val="subscript"/>
        <sz val="16"/>
        <rFont val="Arial Cyr"/>
        <family val="2"/>
      </rPr>
      <t>площадь декор-элементов</t>
    </r>
  </si>
  <si>
    <r>
      <t xml:space="preserve">S </t>
    </r>
    <r>
      <rPr>
        <b/>
        <vertAlign val="subscript"/>
        <sz val="18"/>
        <rFont val="Arial Cyr"/>
        <family val="2"/>
      </rPr>
      <t>отделка ЦОКОЛЯ под песчанник</t>
    </r>
  </si>
  <si>
    <r>
      <t xml:space="preserve">S </t>
    </r>
    <r>
      <rPr>
        <b/>
        <vertAlign val="subscript"/>
        <sz val="18"/>
        <rFont val="Arial Cyr"/>
        <family val="2"/>
      </rPr>
      <t>отделка ЦОКОЛЯ песчанником</t>
    </r>
  </si>
  <si>
    <r>
      <t xml:space="preserve">S </t>
    </r>
    <r>
      <rPr>
        <b/>
        <vertAlign val="subscript"/>
        <sz val="18"/>
        <rFont val="Arial Cyr"/>
        <family val="2"/>
      </rPr>
      <t>отделка КОЛОНН пенопластом под песчанник</t>
    </r>
  </si>
  <si>
    <r>
      <t xml:space="preserve">S </t>
    </r>
    <r>
      <rPr>
        <b/>
        <vertAlign val="subscript"/>
        <sz val="18"/>
        <rFont val="Arial Cyr"/>
        <family val="2"/>
      </rPr>
      <t>отделка КОЛОНН  песчанником</t>
    </r>
  </si>
  <si>
    <r>
      <t xml:space="preserve">S </t>
    </r>
    <r>
      <rPr>
        <b/>
        <vertAlign val="subscript"/>
        <sz val="18"/>
        <rFont val="Arial Cyr"/>
        <family val="2"/>
      </rPr>
      <t>ОКОН и ДВЕРЕЙ</t>
    </r>
  </si>
  <si>
    <t>ИТОГО РАБОТ</t>
  </si>
  <si>
    <t xml:space="preserve">Пенополистирол 25П d=80мм 16кг/м3 </t>
  </si>
  <si>
    <t xml:space="preserve">Пенополистирол 25П d=120мм 16кг/м3 </t>
  </si>
  <si>
    <t xml:space="preserve">Пенополистирол 25П d=140мм 16кг/м3 </t>
  </si>
  <si>
    <t>ОТДЕЛКА Кровли 100мм ППС</t>
  </si>
  <si>
    <t>Соединительный уголок 90х105х105 мм.(крепление стропил)</t>
  </si>
  <si>
    <t>Гвозди К 3,5X90 ГОСТ 4028—63</t>
  </si>
  <si>
    <t>Металлочерепица RunTech M3945 РЕMA 0,45мм</t>
  </si>
  <si>
    <t>СМЕТА УТЕПЛЕНИЯ КРОВЛИ</t>
  </si>
  <si>
    <r>
      <t xml:space="preserve">S </t>
    </r>
    <r>
      <rPr>
        <b/>
        <vertAlign val="subscript"/>
        <sz val="16"/>
        <rFont val="Arial Cyr"/>
        <family val="2"/>
      </rPr>
      <t>площадь</t>
    </r>
    <r>
      <rPr>
        <b/>
        <vertAlign val="subscript"/>
        <sz val="18"/>
        <rFont val="Arial Cyr"/>
        <family val="2"/>
      </rPr>
      <t xml:space="preserve"> УТЕПЛЕНИЯ КРОВЛИ пенопластом </t>
    </r>
  </si>
  <si>
    <t>Утепление кровли</t>
  </si>
  <si>
    <t>Утепление фасада</t>
  </si>
  <si>
    <t>Итого:</t>
  </si>
  <si>
    <t>Материалы:</t>
  </si>
  <si>
    <t>ВСЕГО:</t>
  </si>
  <si>
    <t>Стоимость, грн</t>
  </si>
  <si>
    <t>Сводная</t>
  </si>
  <si>
    <t>Полы</t>
  </si>
  <si>
    <t>(необходимо по факту определить объем необходимых востановительных работ и осметить их с подрядчиком)</t>
  </si>
  <si>
    <t>Стены</t>
  </si>
  <si>
    <t>Окна и двери</t>
  </si>
  <si>
    <t>(получить смету от подрядчика)</t>
  </si>
  <si>
    <t>Прочие</t>
  </si>
  <si>
    <t>(по факту необходимости по согласованию)</t>
  </si>
  <si>
    <t>*цены на работы и материалы указаны по состоянию на 2019 г. в Днепре</t>
  </si>
  <si>
    <t xml:space="preserve">Планка конька </t>
  </si>
  <si>
    <t>Брус 40х70х4000</t>
  </si>
  <si>
    <t>каждую кобылку при закладывании ее кирпичем</t>
  </si>
  <si>
    <t>(рекомендуем: 1.зачистить все поверхности
2.покрасить, осметить с подрядчиком)</t>
  </si>
  <si>
    <t>Свердловина</t>
  </si>
  <si>
    <t>Криниця</t>
  </si>
</sst>
</file>

<file path=xl/styles.xml><?xml version="1.0" encoding="utf-8"?>
<styleSheet xmlns="http://schemas.openxmlformats.org/spreadsheetml/2006/main">
  <numFmts count="40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грн.&quot;_);\(#,##0.00&quot; грн.)&quot;"/>
    <numFmt numFmtId="173" formatCode="0.0"/>
    <numFmt numFmtId="174" formatCode="&quot;&quot;0.000&quot; т&quot;"/>
    <numFmt numFmtId="175" formatCode="&quot;ФМ-1 (&quot;0&quot; шт)&quot;"/>
    <numFmt numFmtId="176" formatCode="&quot;К1 (&quot;0&quot; шт)&quot;"/>
    <numFmt numFmtId="177" formatCode="&quot;К2 (&quot;0&quot; шт)&quot;"/>
    <numFmt numFmtId="178" formatCode="#,##0&quot;м.п.&quot;"/>
    <numFmt numFmtId="179" formatCode="0.00&quot;м3&quot;"/>
    <numFmt numFmtId="180" formatCode="0.00&quot;м2&quot;"/>
    <numFmt numFmtId="181" formatCode="#,##0.00\ [$грн.-422]"/>
    <numFmt numFmtId="182" formatCode="#,##0&quot; грн.&quot;_);\(#,##0&quot; грн.)&quot;"/>
    <numFmt numFmtId="183" formatCode="_-* #,##0.00_р_._-;\-* #,##0.00_р_._-;_-* \-??_р_._-;_-@_-"/>
    <numFmt numFmtId="184" formatCode="_-* #,##0.00\ _₽_-;\-* #,##0.00\ _₽_-;_-* \-??\ _₽_-;_-@_-"/>
    <numFmt numFmtId="185" formatCode="0.000"/>
    <numFmt numFmtId="186" formatCode="#,##0.00&quot; грн. &quot;;\###0.00&quot; грн.&quot;"/>
    <numFmt numFmtId="187" formatCode="0.0&quot; м.п.&quot;"/>
    <numFmt numFmtId="188" formatCode="0.0&quot; м2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  <numFmt numFmtId="194" formatCode="#,##0.0&quot; грн. &quot;;\###0.0&quot; грн.&quot;"/>
    <numFmt numFmtId="195" formatCode="#,##0&quot; грн. &quot;;\###0&quot; грн.&quot;"/>
  </numFmts>
  <fonts count="8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b/>
      <u val="single"/>
      <sz val="12"/>
      <name val="Arial"/>
      <family val="2"/>
    </font>
    <font>
      <sz val="12"/>
      <color indexed="10"/>
      <name val="Times New Roman"/>
      <family val="1"/>
    </font>
    <font>
      <b/>
      <u val="single"/>
      <sz val="10"/>
      <name val="Arial"/>
      <family val="2"/>
    </font>
    <font>
      <sz val="12"/>
      <name val="Arial Cyr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sz val="10"/>
      <name val="GOST 2.304-81"/>
      <family val="2"/>
    </font>
    <font>
      <sz val="10"/>
      <color indexed="12"/>
      <name val="Arial Cyr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GOST 2.304-81"/>
      <family val="2"/>
    </font>
    <font>
      <b/>
      <sz val="12"/>
      <name val="GOST 2.304-81"/>
      <family val="2"/>
    </font>
    <font>
      <i/>
      <sz val="12"/>
      <name val="GOST 2.304-81"/>
      <family val="2"/>
    </font>
    <font>
      <b/>
      <u val="single"/>
      <sz val="12"/>
      <name val="GOST 2.304-81"/>
      <family val="2"/>
    </font>
    <font>
      <b/>
      <i/>
      <sz val="12"/>
      <name val="GOST 2.304-81"/>
      <family val="2"/>
    </font>
    <font>
      <sz val="12"/>
      <color indexed="8"/>
      <name val="GOST 2.304-81"/>
      <family val="2"/>
    </font>
    <font>
      <b/>
      <sz val="18"/>
      <name val="Arial Cyr"/>
      <family val="2"/>
    </font>
    <font>
      <b/>
      <vertAlign val="subscript"/>
      <sz val="18"/>
      <name val="Arial Cyr"/>
      <family val="2"/>
    </font>
    <font>
      <b/>
      <u val="single"/>
      <vertAlign val="subscript"/>
      <sz val="18"/>
      <name val="Arial Cyr"/>
      <family val="2"/>
    </font>
    <font>
      <sz val="12"/>
      <color indexed="12"/>
      <name val="GOST 2.304-81"/>
      <family val="2"/>
    </font>
    <font>
      <sz val="12"/>
      <color indexed="53"/>
      <name val="GOST 2.304-81"/>
      <family val="2"/>
    </font>
    <font>
      <b/>
      <vertAlign val="subscript"/>
      <sz val="18"/>
      <color indexed="8"/>
      <name val="Arial Cyr"/>
      <family val="2"/>
    </font>
    <font>
      <b/>
      <u val="single"/>
      <vertAlign val="subscript"/>
      <sz val="18"/>
      <color indexed="8"/>
      <name val="Arial Cyr"/>
      <family val="2"/>
    </font>
    <font>
      <b/>
      <vertAlign val="subscript"/>
      <sz val="16"/>
      <name val="Arial Cyr"/>
      <family val="2"/>
    </font>
    <font>
      <b/>
      <sz val="16"/>
      <name val="Arial Cyr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83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1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top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vertical="center" wrapText="1"/>
    </xf>
    <xf numFmtId="2" fontId="14" fillId="36" borderId="10" xfId="0" applyNumberFormat="1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left" wrapText="1"/>
    </xf>
    <xf numFmtId="0" fontId="14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wrapText="1"/>
    </xf>
    <xf numFmtId="0" fontId="16" fillId="34" borderId="10" xfId="0" applyFont="1" applyFill="1" applyBorder="1" applyAlignment="1">
      <alignment wrapText="1"/>
    </xf>
    <xf numFmtId="0" fontId="8" fillId="36" borderId="11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2" fontId="15" fillId="36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vertical="top" wrapText="1"/>
    </xf>
    <xf numFmtId="1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top" wrapText="1"/>
    </xf>
    <xf numFmtId="2" fontId="9" fillId="35" borderId="10" xfId="0" applyNumberFormat="1" applyFont="1" applyFill="1" applyBorder="1" applyAlignment="1">
      <alignment vertical="center" wrapText="1"/>
    </xf>
    <xf numFmtId="2" fontId="4" fillId="35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14" fillId="37" borderId="12" xfId="0" applyFont="1" applyFill="1" applyBorder="1" applyAlignment="1">
      <alignment horizontal="right" wrapText="1"/>
    </xf>
    <xf numFmtId="0" fontId="2" fillId="37" borderId="10" xfId="0" applyFont="1" applyFill="1" applyBorder="1" applyAlignment="1">
      <alignment horizontal="center" vertical="top" wrapText="1"/>
    </xf>
    <xf numFmtId="4" fontId="21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 wrapText="1"/>
    </xf>
    <xf numFmtId="178" fontId="21" fillId="35" borderId="10" xfId="0" applyNumberFormat="1" applyFont="1" applyFill="1" applyBorder="1" applyAlignment="1">
      <alignment horizontal="center" wrapText="1"/>
    </xf>
    <xf numFmtId="179" fontId="21" fillId="35" borderId="10" xfId="0" applyNumberFormat="1" applyFont="1" applyFill="1" applyBorder="1" applyAlignment="1">
      <alignment horizontal="center" wrapText="1"/>
    </xf>
    <xf numFmtId="179" fontId="2" fillId="35" borderId="10" xfId="0" applyNumberFormat="1" applyFont="1" applyFill="1" applyBorder="1" applyAlignment="1">
      <alignment horizontal="center" wrapText="1"/>
    </xf>
    <xf numFmtId="180" fontId="2" fillId="35" borderId="10" xfId="0" applyNumberFormat="1" applyFont="1" applyFill="1" applyBorder="1" applyAlignment="1">
      <alignment horizontal="center" wrapText="1"/>
    </xf>
    <xf numFmtId="0" fontId="8" fillId="36" borderId="12" xfId="0" applyFont="1" applyFill="1" applyBorder="1" applyAlignment="1">
      <alignment wrapText="1"/>
    </xf>
    <xf numFmtId="0" fontId="0" fillId="36" borderId="10" xfId="0" applyFont="1" applyFill="1" applyBorder="1" applyAlignment="1">
      <alignment horizontal="center" wrapText="1"/>
    </xf>
    <xf numFmtId="2" fontId="0" fillId="36" borderId="10" xfId="0" applyNumberFormat="1" applyFill="1" applyBorder="1" applyAlignment="1">
      <alignment wrapText="1"/>
    </xf>
    <xf numFmtId="2" fontId="0" fillId="36" borderId="10" xfId="0" applyNumberFormat="1" applyFont="1" applyFill="1" applyBorder="1" applyAlignment="1">
      <alignment wrapText="1"/>
    </xf>
    <xf numFmtId="2" fontId="0" fillId="36" borderId="10" xfId="0" applyNumberFormat="1" applyFont="1" applyFill="1" applyBorder="1" applyAlignment="1">
      <alignment horizontal="center" wrapText="1"/>
    </xf>
    <xf numFmtId="2" fontId="2" fillId="37" borderId="10" xfId="0" applyNumberFormat="1" applyFont="1" applyFill="1" applyBorder="1" applyAlignment="1">
      <alignment horizontal="center" wrapText="1"/>
    </xf>
    <xf numFmtId="2" fontId="21" fillId="37" borderId="10" xfId="0" applyNumberFormat="1" applyFont="1" applyFill="1" applyBorder="1" applyAlignment="1">
      <alignment horizontal="center" wrapText="1"/>
    </xf>
    <xf numFmtId="178" fontId="21" fillId="37" borderId="10" xfId="0" applyNumberFormat="1" applyFont="1" applyFill="1" applyBorder="1" applyAlignment="1">
      <alignment horizontal="center" wrapText="1"/>
    </xf>
    <xf numFmtId="179" fontId="21" fillId="37" borderId="10" xfId="0" applyNumberFormat="1" applyFont="1" applyFill="1" applyBorder="1" applyAlignment="1">
      <alignment horizont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1" fillId="38" borderId="12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top" wrapText="1"/>
    </xf>
    <xf numFmtId="2" fontId="0" fillId="37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4" fillId="35" borderId="10" xfId="0" applyFont="1" applyFill="1" applyBorder="1" applyAlignment="1">
      <alignment vertical="center" wrapText="1"/>
    </xf>
    <xf numFmtId="0" fontId="24" fillId="37" borderId="10" xfId="0" applyFont="1" applyFill="1" applyBorder="1" applyAlignment="1">
      <alignment horizontal="center" vertical="top" wrapText="1"/>
    </xf>
    <xf numFmtId="2" fontId="24" fillId="37" borderId="10" xfId="0" applyNumberFormat="1" applyFont="1" applyFill="1" applyBorder="1" applyAlignment="1">
      <alignment horizontal="center" wrapText="1"/>
    </xf>
    <xf numFmtId="0" fontId="17" fillId="35" borderId="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top" wrapText="1"/>
    </xf>
    <xf numFmtId="4" fontId="0" fillId="36" borderId="10" xfId="0" applyNumberFormat="1" applyFill="1" applyBorder="1" applyAlignment="1">
      <alignment horizontal="center" vertical="top" wrapText="1"/>
    </xf>
    <xf numFmtId="2" fontId="9" fillId="36" borderId="10" xfId="0" applyNumberFormat="1" applyFont="1" applyFill="1" applyBorder="1" applyAlignment="1">
      <alignment vertical="center" wrapText="1"/>
    </xf>
    <xf numFmtId="0" fontId="14" fillId="37" borderId="10" xfId="0" applyFont="1" applyFill="1" applyBorder="1" applyAlignment="1">
      <alignment horizontal="right" wrapText="1"/>
    </xf>
    <xf numFmtId="0" fontId="25" fillId="36" borderId="10" xfId="37" applyFont="1" applyFill="1" applyBorder="1" applyAlignment="1">
      <alignment horizontal="center" vertical="top" wrapText="1"/>
      <protection/>
    </xf>
    <xf numFmtId="2" fontId="0" fillId="36" borderId="10" xfId="0" applyNumberFormat="1" applyFont="1" applyFill="1" applyBorder="1" applyAlignment="1">
      <alignment vertical="center" wrapText="1"/>
    </xf>
    <xf numFmtId="181" fontId="15" fillId="36" borderId="10" xfId="0" applyNumberFormat="1" applyFont="1" applyFill="1" applyBorder="1" applyAlignment="1">
      <alignment horizontal="center" wrapText="1"/>
    </xf>
    <xf numFmtId="181" fontId="0" fillId="36" borderId="10" xfId="0" applyNumberFormat="1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0" fontId="14" fillId="40" borderId="10" xfId="0" applyFont="1" applyFill="1" applyBorder="1" applyAlignment="1">
      <alignment horizontal="right" wrapText="1"/>
    </xf>
    <xf numFmtId="0" fontId="14" fillId="40" borderId="10" xfId="0" applyFont="1" applyFill="1" applyBorder="1" applyAlignment="1">
      <alignment horizontal="center" wrapText="1"/>
    </xf>
    <xf numFmtId="2" fontId="2" fillId="40" borderId="10" xfId="0" applyNumberFormat="1" applyFont="1" applyFill="1" applyBorder="1" applyAlignment="1">
      <alignment horizontal="center" wrapText="1"/>
    </xf>
    <xf numFmtId="2" fontId="21" fillId="40" borderId="10" xfId="0" applyNumberFormat="1" applyFont="1" applyFill="1" applyBorder="1" applyAlignment="1">
      <alignment horizontal="center" wrapText="1"/>
    </xf>
    <xf numFmtId="0" fontId="14" fillId="37" borderId="10" xfId="0" applyFont="1" applyFill="1" applyBorder="1" applyAlignment="1">
      <alignment horizontal="center" wrapText="1"/>
    </xf>
    <xf numFmtId="2" fontId="4" fillId="37" borderId="10" xfId="0" applyNumberFormat="1" applyFont="1" applyFill="1" applyBorder="1" applyAlignment="1">
      <alignment horizontal="center" vertical="center" wrapText="1"/>
    </xf>
    <xf numFmtId="2" fontId="14" fillId="37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41" borderId="10" xfId="0" applyFont="1" applyFill="1" applyBorder="1" applyAlignment="1">
      <alignment/>
    </xf>
    <xf numFmtId="0" fontId="26" fillId="41" borderId="1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" fontId="28" fillId="0" borderId="10" xfId="0" applyNumberFormat="1" applyFont="1" applyBorder="1" applyAlignment="1">
      <alignment horizontal="center" vertical="center" wrapText="1"/>
    </xf>
    <xf numFmtId="2" fontId="28" fillId="43" borderId="10" xfId="0" applyNumberFormat="1" applyFont="1" applyFill="1" applyBorder="1" applyAlignment="1">
      <alignment horizontal="center" vertical="center" wrapText="1"/>
    </xf>
    <xf numFmtId="183" fontId="29" fillId="0" borderId="10" xfId="52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35" borderId="10" xfId="0" applyFont="1" applyFill="1" applyBorder="1" applyAlignment="1">
      <alignment horizontal="center" vertical="center" wrapText="1"/>
    </xf>
    <xf numFmtId="183" fontId="29" fillId="35" borderId="10" xfId="52" applyFont="1" applyFill="1" applyBorder="1" applyAlignment="1" applyProtection="1">
      <alignment horizontal="center" vertical="center" wrapText="1"/>
      <protection/>
    </xf>
    <xf numFmtId="174" fontId="28" fillId="35" borderId="1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 wrapText="1"/>
    </xf>
    <xf numFmtId="0" fontId="0" fillId="42" borderId="10" xfId="0" applyFont="1" applyFill="1" applyBorder="1" applyAlignment="1">
      <alignment vertical="center" wrapText="1"/>
    </xf>
    <xf numFmtId="0" fontId="27" fillId="35" borderId="10" xfId="0" applyFont="1" applyFill="1" applyBorder="1" applyAlignment="1">
      <alignment horizontal="center" vertical="top" wrapText="1"/>
    </xf>
    <xf numFmtId="0" fontId="27" fillId="35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right" vertical="center" wrapText="1"/>
    </xf>
    <xf numFmtId="2" fontId="28" fillId="0" borderId="12" xfId="0" applyNumberFormat="1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42" borderId="13" xfId="0" applyFont="1" applyFill="1" applyBorder="1" applyAlignment="1">
      <alignment vertical="top" wrapText="1"/>
    </xf>
    <xf numFmtId="2" fontId="28" fillId="35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74" fontId="28" fillId="35" borderId="12" xfId="0" applyNumberFormat="1" applyFont="1" applyFill="1" applyBorder="1" applyAlignment="1">
      <alignment vertical="center" wrapText="1"/>
    </xf>
    <xf numFmtId="4" fontId="28" fillId="43" borderId="10" xfId="0" applyNumberFormat="1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27" fillId="35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vertical="center" wrapText="1"/>
    </xf>
    <xf numFmtId="4" fontId="28" fillId="43" borderId="11" xfId="0" applyNumberFormat="1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right" wrapText="1"/>
    </xf>
    <xf numFmtId="183" fontId="32" fillId="0" borderId="10" xfId="52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 horizontal="center" vertical="center" wrapText="1"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>
      <alignment/>
    </xf>
    <xf numFmtId="185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185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43" borderId="0" xfId="0" applyFont="1" applyFill="1" applyBorder="1" applyAlignment="1" applyProtection="1">
      <alignment horizontal="center"/>
      <protection locked="0"/>
    </xf>
    <xf numFmtId="0" fontId="36" fillId="43" borderId="0" xfId="0" applyFont="1" applyFill="1" applyBorder="1" applyAlignment="1" applyProtection="1">
      <alignment horizontal="left"/>
      <protection locked="0"/>
    </xf>
    <xf numFmtId="0" fontId="33" fillId="43" borderId="0" xfId="0" applyFont="1" applyFill="1" applyBorder="1" applyAlignment="1" applyProtection="1">
      <alignment horizontal="right"/>
      <protection locked="0"/>
    </xf>
    <xf numFmtId="0" fontId="33" fillId="43" borderId="0" xfId="0" applyFont="1" applyFill="1" applyBorder="1" applyAlignment="1" applyProtection="1">
      <alignment horizontal="left"/>
      <protection locked="0"/>
    </xf>
    <xf numFmtId="0" fontId="33" fillId="43" borderId="0" xfId="0" applyFont="1" applyFill="1" applyBorder="1" applyAlignment="1" applyProtection="1">
      <alignment/>
      <protection locked="0"/>
    </xf>
    <xf numFmtId="0" fontId="34" fillId="38" borderId="0" xfId="0" applyFont="1" applyFill="1" applyBorder="1" applyAlignment="1" applyProtection="1">
      <alignment/>
      <protection locked="0"/>
    </xf>
    <xf numFmtId="0" fontId="37" fillId="38" borderId="0" xfId="0" applyFont="1" applyFill="1" applyBorder="1" applyAlignment="1" applyProtection="1">
      <alignment horizontal="right"/>
      <protection locked="0"/>
    </xf>
    <xf numFmtId="2" fontId="33" fillId="38" borderId="0" xfId="0" applyNumberFormat="1" applyFont="1" applyFill="1" applyBorder="1" applyAlignment="1" applyProtection="1">
      <alignment horizontal="center"/>
      <protection/>
    </xf>
    <xf numFmtId="0" fontId="33" fillId="38" borderId="0" xfId="0" applyFont="1" applyFill="1" applyBorder="1" applyAlignment="1" applyProtection="1">
      <alignment horizontal="left"/>
      <protection locked="0"/>
    </xf>
    <xf numFmtId="0" fontId="33" fillId="38" borderId="0" xfId="0" applyFont="1" applyFill="1" applyBorder="1" applyAlignment="1" applyProtection="1">
      <alignment/>
      <protection locked="0"/>
    </xf>
    <xf numFmtId="2" fontId="33" fillId="42" borderId="10" xfId="0" applyNumberFormat="1" applyFont="1" applyFill="1" applyBorder="1" applyAlignment="1" applyProtection="1">
      <alignment/>
      <protection locked="0"/>
    </xf>
    <xf numFmtId="0" fontId="33" fillId="42" borderId="10" xfId="0" applyFont="1" applyFill="1" applyBorder="1" applyAlignment="1" applyProtection="1">
      <alignment horizontal="left" vertical="top" wrapText="1"/>
      <protection locked="0"/>
    </xf>
    <xf numFmtId="0" fontId="33" fillId="42" borderId="10" xfId="0" applyFont="1" applyFill="1" applyBorder="1" applyAlignment="1" applyProtection="1">
      <alignment horizontal="center"/>
      <protection locked="0"/>
    </xf>
    <xf numFmtId="4" fontId="33" fillId="42" borderId="10" xfId="0" applyNumberFormat="1" applyFont="1" applyFill="1" applyBorder="1" applyAlignment="1" applyProtection="1">
      <alignment horizontal="right"/>
      <protection locked="0"/>
    </xf>
    <xf numFmtId="172" fontId="33" fillId="42" borderId="10" xfId="0" applyNumberFormat="1" applyFont="1" applyFill="1" applyBorder="1" applyAlignment="1" applyProtection="1">
      <alignment horizontal="right"/>
      <protection locked="0"/>
    </xf>
    <xf numFmtId="0" fontId="33" fillId="42" borderId="10" xfId="0" applyFont="1" applyFill="1" applyBorder="1" applyAlignment="1" applyProtection="1">
      <alignment vertical="top" wrapText="1"/>
      <protection locked="0"/>
    </xf>
    <xf numFmtId="0" fontId="33" fillId="42" borderId="10" xfId="0" applyFont="1" applyFill="1" applyBorder="1" applyAlignment="1" applyProtection="1">
      <alignment horizontal="center" vertical="center"/>
      <protection locked="0"/>
    </xf>
    <xf numFmtId="0" fontId="38" fillId="42" borderId="10" xfId="0" applyFont="1" applyFill="1" applyBorder="1" applyAlignment="1" applyProtection="1">
      <alignment vertical="top" wrapText="1"/>
      <protection locked="0"/>
    </xf>
    <xf numFmtId="0" fontId="38" fillId="42" borderId="10" xfId="0" applyFont="1" applyFill="1" applyBorder="1" applyAlignment="1" applyProtection="1">
      <alignment/>
      <protection locked="0"/>
    </xf>
    <xf numFmtId="0" fontId="33" fillId="42" borderId="10" xfId="0" applyFont="1" applyFill="1" applyBorder="1" applyAlignment="1" applyProtection="1">
      <alignment/>
      <protection locked="0"/>
    </xf>
    <xf numFmtId="0" fontId="33" fillId="44" borderId="10" xfId="0" applyFont="1" applyFill="1" applyBorder="1" applyAlignment="1" applyProtection="1">
      <alignment/>
      <protection locked="0"/>
    </xf>
    <xf numFmtId="0" fontId="34" fillId="44" borderId="10" xfId="0" applyFont="1" applyFill="1" applyBorder="1" applyAlignment="1" applyProtection="1">
      <alignment horizontal="right"/>
      <protection locked="0"/>
    </xf>
    <xf numFmtId="185" fontId="33" fillId="44" borderId="10" xfId="0" applyNumberFormat="1" applyFont="1" applyFill="1" applyBorder="1" applyAlignment="1" applyProtection="1">
      <alignment/>
      <protection locked="0"/>
    </xf>
    <xf numFmtId="4" fontId="33" fillId="44" borderId="10" xfId="0" applyNumberFormat="1" applyFont="1" applyFill="1" applyBorder="1" applyAlignment="1" applyProtection="1">
      <alignment horizontal="right"/>
      <protection locked="0"/>
    </xf>
    <xf numFmtId="4" fontId="36" fillId="44" borderId="10" xfId="0" applyNumberFormat="1" applyFont="1" applyFill="1" applyBorder="1" applyAlignment="1" applyProtection="1">
      <alignment horizontal="right"/>
      <protection locked="0"/>
    </xf>
    <xf numFmtId="0" fontId="36" fillId="43" borderId="0" xfId="0" applyFont="1" applyFill="1" applyAlignment="1" applyProtection="1">
      <alignment horizontal="center" vertical="center"/>
      <protection locked="0"/>
    </xf>
    <xf numFmtId="1" fontId="33" fillId="0" borderId="0" xfId="0" applyNumberFormat="1" applyFont="1" applyFill="1" applyAlignment="1" applyProtection="1">
      <alignment horizontal="right"/>
      <protection locked="0"/>
    </xf>
    <xf numFmtId="0" fontId="33" fillId="45" borderId="10" xfId="56" applyFont="1" applyFill="1" applyBorder="1" applyAlignment="1">
      <alignment vertical="center" wrapText="1"/>
      <protection/>
    </xf>
    <xf numFmtId="0" fontId="33" fillId="46" borderId="10" xfId="0" applyFont="1" applyFill="1" applyBorder="1" applyAlignment="1" applyProtection="1">
      <alignment horizontal="center" vertical="center"/>
      <protection locked="0"/>
    </xf>
    <xf numFmtId="4" fontId="33" fillId="46" borderId="10" xfId="0" applyNumberFormat="1" applyFont="1" applyFill="1" applyBorder="1" applyAlignment="1" applyProtection="1">
      <alignment horizontal="right"/>
      <protection locked="0"/>
    </xf>
    <xf numFmtId="4" fontId="33" fillId="46" borderId="10" xfId="0" applyNumberFormat="1" applyFont="1" applyFill="1" applyBorder="1" applyAlignment="1" applyProtection="1">
      <alignment/>
      <protection locked="0"/>
    </xf>
    <xf numFmtId="172" fontId="33" fillId="46" borderId="10" xfId="0" applyNumberFormat="1" applyFont="1" applyFill="1" applyBorder="1" applyAlignment="1" applyProtection="1">
      <alignment horizontal="right"/>
      <protection locked="0"/>
    </xf>
    <xf numFmtId="0" fontId="33" fillId="46" borderId="10" xfId="56" applyFont="1" applyFill="1" applyBorder="1" applyAlignment="1">
      <alignment horizontal="center" vertical="center" wrapText="1"/>
      <protection/>
    </xf>
    <xf numFmtId="172" fontId="33" fillId="46" borderId="10" xfId="0" applyNumberFormat="1" applyFont="1" applyFill="1" applyBorder="1" applyAlignment="1" applyProtection="1">
      <alignment/>
      <protection locked="0"/>
    </xf>
    <xf numFmtId="0" fontId="33" fillId="46" borderId="10" xfId="56" applyFont="1" applyFill="1" applyBorder="1" applyAlignment="1">
      <alignment horizontal="center" vertical="center"/>
      <protection/>
    </xf>
    <xf numFmtId="172" fontId="34" fillId="46" borderId="10" xfId="0" applyNumberFormat="1" applyFont="1" applyFill="1" applyBorder="1" applyAlignment="1" applyProtection="1">
      <alignment horizontal="right"/>
      <protection locked="0"/>
    </xf>
    <xf numFmtId="172" fontId="34" fillId="46" borderId="10" xfId="0" applyNumberFormat="1" applyFont="1" applyFill="1" applyBorder="1" applyAlignment="1" applyProtection="1">
      <alignment/>
      <protection locked="0"/>
    </xf>
    <xf numFmtId="0" fontId="36" fillId="38" borderId="0" xfId="0" applyFont="1" applyFill="1" applyAlignment="1">
      <alignment/>
    </xf>
    <xf numFmtId="172" fontId="36" fillId="38" borderId="0" xfId="0" applyNumberFormat="1" applyFont="1" applyFill="1" applyAlignment="1">
      <alignment/>
    </xf>
    <xf numFmtId="0" fontId="36" fillId="38" borderId="15" xfId="0" applyFont="1" applyFill="1" applyBorder="1" applyAlignment="1">
      <alignment/>
    </xf>
    <xf numFmtId="0" fontId="36" fillId="38" borderId="15" xfId="0" applyFont="1" applyFill="1" applyBorder="1" applyAlignment="1">
      <alignment horizontal="right"/>
    </xf>
    <xf numFmtId="4" fontId="36" fillId="38" borderId="15" xfId="0" applyNumberFormat="1" applyFont="1" applyFill="1" applyBorder="1" applyAlignment="1" applyProtection="1">
      <alignment/>
      <protection locked="0"/>
    </xf>
    <xf numFmtId="186" fontId="33" fillId="0" borderId="0" xfId="0" applyNumberFormat="1" applyFont="1" applyFill="1" applyAlignment="1">
      <alignment/>
    </xf>
    <xf numFmtId="0" fontId="33" fillId="47" borderId="0" xfId="0" applyFont="1" applyFill="1" applyAlignment="1" applyProtection="1">
      <alignment/>
      <protection locked="0"/>
    </xf>
    <xf numFmtId="0" fontId="34" fillId="47" borderId="0" xfId="0" applyFont="1" applyFill="1" applyAlignment="1" applyProtection="1">
      <alignment horizontal="right"/>
      <protection locked="0"/>
    </xf>
    <xf numFmtId="2" fontId="34" fillId="47" borderId="0" xfId="0" applyNumberFormat="1" applyFont="1" applyFill="1" applyAlignment="1" applyProtection="1">
      <alignment horizontal="center" vertical="center"/>
      <protection locked="0"/>
    </xf>
    <xf numFmtId="14" fontId="34" fillId="47" borderId="0" xfId="0" applyNumberFormat="1" applyFont="1" applyFill="1" applyAlignment="1" applyProtection="1">
      <alignment horizontal="center" vertical="center"/>
      <protection locked="0"/>
    </xf>
    <xf numFmtId="0" fontId="34" fillId="47" borderId="0" xfId="0" applyFont="1" applyFill="1" applyAlignment="1" applyProtection="1">
      <alignment horizontal="center" vertical="center"/>
      <protection locked="0"/>
    </xf>
    <xf numFmtId="187" fontId="34" fillId="47" borderId="0" xfId="0" applyNumberFormat="1" applyFont="1" applyFill="1" applyAlignment="1" applyProtection="1">
      <alignment/>
      <protection locked="0"/>
    </xf>
    <xf numFmtId="188" fontId="34" fillId="47" borderId="0" xfId="0" applyNumberFormat="1" applyFont="1" applyFill="1" applyAlignment="1" applyProtection="1">
      <alignment/>
      <protection locked="0"/>
    </xf>
    <xf numFmtId="188" fontId="33" fillId="47" borderId="0" xfId="0" applyNumberFormat="1" applyFont="1" applyFill="1" applyAlignment="1" applyProtection="1">
      <alignment/>
      <protection locked="0"/>
    </xf>
    <xf numFmtId="0" fontId="37" fillId="43" borderId="0" xfId="0" applyFont="1" applyFill="1" applyAlignment="1" applyProtection="1">
      <alignment horizontal="right"/>
      <protection locked="0"/>
    </xf>
    <xf numFmtId="0" fontId="37" fillId="43" borderId="0" xfId="0" applyFont="1" applyFill="1" applyAlignment="1" applyProtection="1">
      <alignment horizontal="center"/>
      <protection locked="0"/>
    </xf>
    <xf numFmtId="0" fontId="34" fillId="43" borderId="0" xfId="0" applyFont="1" applyFill="1" applyAlignment="1" applyProtection="1">
      <alignment/>
      <protection locked="0"/>
    </xf>
    <xf numFmtId="0" fontId="35" fillId="48" borderId="0" xfId="0" applyFont="1" applyFill="1" applyBorder="1" applyAlignment="1" applyProtection="1">
      <alignment horizontal="right"/>
      <protection locked="0"/>
    </xf>
    <xf numFmtId="2" fontId="33" fillId="48" borderId="0" xfId="0" applyNumberFormat="1" applyFont="1" applyFill="1" applyBorder="1" applyAlignment="1" applyProtection="1">
      <alignment horizontal="center"/>
      <protection locked="0"/>
    </xf>
    <xf numFmtId="0" fontId="33" fillId="48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33" fillId="43" borderId="0" xfId="0" applyFont="1" applyFill="1" applyAlignment="1" applyProtection="1">
      <alignment horizontal="left"/>
      <protection locked="0"/>
    </xf>
    <xf numFmtId="0" fontId="35" fillId="47" borderId="0" xfId="0" applyFont="1" applyFill="1" applyBorder="1" applyAlignment="1" applyProtection="1">
      <alignment horizontal="right"/>
      <protection locked="0"/>
    </xf>
    <xf numFmtId="2" fontId="33" fillId="47" borderId="0" xfId="0" applyNumberFormat="1" applyFont="1" applyFill="1" applyBorder="1" applyAlignment="1" applyProtection="1">
      <alignment horizontal="center"/>
      <protection locked="0"/>
    </xf>
    <xf numFmtId="0" fontId="33" fillId="47" borderId="0" xfId="0" applyFont="1" applyFill="1" applyBorder="1" applyAlignment="1" applyProtection="1">
      <alignment horizontal="left"/>
      <protection locked="0"/>
    </xf>
    <xf numFmtId="0" fontId="35" fillId="49" borderId="0" xfId="0" applyFont="1" applyFill="1" applyBorder="1" applyAlignment="1" applyProtection="1">
      <alignment horizontal="right"/>
      <protection locked="0"/>
    </xf>
    <xf numFmtId="2" fontId="33" fillId="49" borderId="0" xfId="0" applyNumberFormat="1" applyFont="1" applyFill="1" applyBorder="1" applyAlignment="1" applyProtection="1">
      <alignment horizontal="center"/>
      <protection locked="0"/>
    </xf>
    <xf numFmtId="0" fontId="33" fillId="49" borderId="0" xfId="0" applyFont="1" applyFill="1" applyBorder="1" applyAlignment="1" applyProtection="1">
      <alignment horizontal="left"/>
      <protection locked="0"/>
    </xf>
    <xf numFmtId="2" fontId="33" fillId="42" borderId="10" xfId="0" applyNumberFormat="1" applyFont="1" applyFill="1" applyBorder="1" applyAlignment="1" applyProtection="1">
      <alignment/>
      <protection locked="0"/>
    </xf>
    <xf numFmtId="187" fontId="33" fillId="47" borderId="0" xfId="0" applyNumberFormat="1" applyFont="1" applyFill="1" applyAlignment="1" applyProtection="1">
      <alignment/>
      <protection locked="0"/>
    </xf>
    <xf numFmtId="172" fontId="34" fillId="47" borderId="0" xfId="0" applyNumberFormat="1" applyFont="1" applyFill="1" applyAlignment="1" applyProtection="1">
      <alignment/>
      <protection locked="0"/>
    </xf>
    <xf numFmtId="0" fontId="33" fillId="38" borderId="0" xfId="0" applyFont="1" applyFill="1" applyAlignment="1" applyProtection="1">
      <alignment/>
      <protection locked="0"/>
    </xf>
    <xf numFmtId="0" fontId="34" fillId="38" borderId="0" xfId="0" applyFont="1" applyFill="1" applyAlignment="1" applyProtection="1">
      <alignment horizontal="right"/>
      <protection locked="0"/>
    </xf>
    <xf numFmtId="188" fontId="34" fillId="38" borderId="0" xfId="0" applyNumberFormat="1" applyFont="1" applyFill="1" applyAlignment="1" applyProtection="1">
      <alignment/>
      <protection locked="0"/>
    </xf>
    <xf numFmtId="188" fontId="33" fillId="38" borderId="0" xfId="0" applyNumberFormat="1" applyFont="1" applyFill="1" applyAlignment="1" applyProtection="1">
      <alignment/>
      <protection locked="0"/>
    </xf>
    <xf numFmtId="0" fontId="36" fillId="38" borderId="0" xfId="0" applyFont="1" applyFill="1" applyAlignment="1" applyProtection="1">
      <alignment horizontal="center" vertical="center"/>
      <protection locked="0"/>
    </xf>
    <xf numFmtId="172" fontId="36" fillId="38" borderId="0" xfId="0" applyNumberFormat="1" applyFont="1" applyFill="1" applyAlignment="1" applyProtection="1">
      <alignment/>
      <protection locked="0"/>
    </xf>
    <xf numFmtId="0" fontId="35" fillId="50" borderId="0" xfId="0" applyFont="1" applyFill="1" applyBorder="1" applyAlignment="1" applyProtection="1">
      <alignment horizontal="right"/>
      <protection locked="0"/>
    </xf>
    <xf numFmtId="2" fontId="33" fillId="51" borderId="0" xfId="0" applyNumberFormat="1" applyFont="1" applyFill="1" applyBorder="1" applyAlignment="1" applyProtection="1">
      <alignment horizontal="center"/>
      <protection locked="0"/>
    </xf>
    <xf numFmtId="0" fontId="33" fillId="50" borderId="0" xfId="0" applyFont="1" applyFill="1" applyBorder="1" applyAlignment="1" applyProtection="1">
      <alignment horizontal="left"/>
      <protection locked="0"/>
    </xf>
    <xf numFmtId="0" fontId="36" fillId="43" borderId="16" xfId="0" applyFont="1" applyFill="1" applyBorder="1" applyAlignment="1" applyProtection="1">
      <alignment/>
      <protection locked="0"/>
    </xf>
    <xf numFmtId="0" fontId="21" fillId="0" borderId="0" xfId="0" applyFont="1" applyAlignment="1">
      <alignment/>
    </xf>
    <xf numFmtId="0" fontId="0" fillId="52" borderId="17" xfId="0" applyFill="1" applyBorder="1" applyAlignment="1">
      <alignment/>
    </xf>
    <xf numFmtId="0" fontId="2" fillId="52" borderId="17" xfId="0" applyFont="1" applyFill="1" applyBorder="1" applyAlignment="1">
      <alignment/>
    </xf>
    <xf numFmtId="0" fontId="0" fillId="4" borderId="17" xfId="0" applyFill="1" applyBorder="1" applyAlignment="1">
      <alignment/>
    </xf>
    <xf numFmtId="0" fontId="2" fillId="4" borderId="17" xfId="0" applyFont="1" applyFill="1" applyBorder="1" applyAlignment="1">
      <alignment/>
    </xf>
    <xf numFmtId="0" fontId="0" fillId="7" borderId="17" xfId="0" applyFill="1" applyBorder="1" applyAlignment="1">
      <alignment/>
    </xf>
    <xf numFmtId="0" fontId="2" fillId="7" borderId="17" xfId="0" applyFont="1" applyFill="1" applyBorder="1" applyAlignment="1">
      <alignment/>
    </xf>
    <xf numFmtId="0" fontId="48" fillId="52" borderId="17" xfId="0" applyFont="1" applyFill="1" applyBorder="1" applyAlignment="1">
      <alignment/>
    </xf>
    <xf numFmtId="0" fontId="48" fillId="7" borderId="17" xfId="0" applyFont="1" applyFill="1" applyBorder="1" applyAlignment="1">
      <alignment/>
    </xf>
    <xf numFmtId="0" fontId="48" fillId="4" borderId="17" xfId="0" applyFont="1" applyFill="1" applyBorder="1" applyAlignment="1">
      <alignment/>
    </xf>
    <xf numFmtId="0" fontId="48" fillId="13" borderId="17" xfId="0" applyFont="1" applyFill="1" applyBorder="1" applyAlignment="1">
      <alignment/>
    </xf>
    <xf numFmtId="0" fontId="0" fillId="13" borderId="17" xfId="0" applyFill="1" applyBorder="1" applyAlignment="1">
      <alignment/>
    </xf>
    <xf numFmtId="0" fontId="2" fillId="13" borderId="17" xfId="0" applyFont="1" applyFill="1" applyBorder="1" applyAlignment="1">
      <alignment/>
    </xf>
    <xf numFmtId="0" fontId="48" fillId="6" borderId="17" xfId="0" applyFont="1" applyFill="1" applyBorder="1" applyAlignment="1">
      <alignment/>
    </xf>
    <xf numFmtId="0" fontId="0" fillId="6" borderId="17" xfId="0" applyFill="1" applyBorder="1" applyAlignment="1">
      <alignment/>
    </xf>
    <xf numFmtId="0" fontId="2" fillId="6" borderId="17" xfId="0" applyFont="1" applyFill="1" applyBorder="1" applyAlignment="1">
      <alignment/>
    </xf>
    <xf numFmtId="0" fontId="48" fillId="8" borderId="17" xfId="0" applyFont="1" applyFill="1" applyBorder="1" applyAlignment="1">
      <alignment/>
    </xf>
    <xf numFmtId="0" fontId="0" fillId="8" borderId="17" xfId="0" applyFill="1" applyBorder="1" applyAlignment="1">
      <alignment/>
    </xf>
    <xf numFmtId="0" fontId="2" fillId="8" borderId="17" xfId="0" applyFont="1" applyFill="1" applyBorder="1" applyAlignment="1">
      <alignment/>
    </xf>
    <xf numFmtId="195" fontId="0" fillId="52" borderId="17" xfId="0" applyNumberFormat="1" applyFill="1" applyBorder="1" applyAlignment="1">
      <alignment/>
    </xf>
    <xf numFmtId="195" fontId="2" fillId="52" borderId="17" xfId="0" applyNumberFormat="1" applyFont="1" applyFill="1" applyBorder="1" applyAlignment="1">
      <alignment/>
    </xf>
    <xf numFmtId="195" fontId="0" fillId="7" borderId="17" xfId="0" applyNumberFormat="1" applyFill="1" applyBorder="1" applyAlignment="1">
      <alignment/>
    </xf>
    <xf numFmtId="195" fontId="2" fillId="7" borderId="17" xfId="0" applyNumberFormat="1" applyFont="1" applyFill="1" applyBorder="1" applyAlignment="1">
      <alignment/>
    </xf>
    <xf numFmtId="195" fontId="0" fillId="4" borderId="17" xfId="0" applyNumberFormat="1" applyFill="1" applyBorder="1" applyAlignment="1">
      <alignment/>
    </xf>
    <xf numFmtId="195" fontId="2" fillId="4" borderId="17" xfId="0" applyNumberFormat="1" applyFont="1" applyFill="1" applyBorder="1" applyAlignment="1">
      <alignment/>
    </xf>
    <xf numFmtId="195" fontId="0" fillId="6" borderId="17" xfId="0" applyNumberFormat="1" applyFill="1" applyBorder="1" applyAlignment="1">
      <alignment/>
    </xf>
    <xf numFmtId="195" fontId="2" fillId="6" borderId="17" xfId="0" applyNumberFormat="1" applyFont="1" applyFill="1" applyBorder="1" applyAlignment="1">
      <alignment/>
    </xf>
    <xf numFmtId="195" fontId="0" fillId="13" borderId="17" xfId="0" applyNumberFormat="1" applyFill="1" applyBorder="1" applyAlignment="1">
      <alignment/>
    </xf>
    <xf numFmtId="195" fontId="2" fillId="13" borderId="17" xfId="0" applyNumberFormat="1" applyFont="1" applyFill="1" applyBorder="1" applyAlignment="1">
      <alignment/>
    </xf>
    <xf numFmtId="195" fontId="0" fillId="8" borderId="17" xfId="0" applyNumberFormat="1" applyFill="1" applyBorder="1" applyAlignment="1">
      <alignment/>
    </xf>
    <xf numFmtId="195" fontId="2" fillId="8" borderId="17" xfId="0" applyNumberFormat="1" applyFont="1" applyFill="1" applyBorder="1" applyAlignment="1">
      <alignment/>
    </xf>
    <xf numFmtId="195" fontId="0" fillId="0" borderId="0" xfId="0" applyNumberFormat="1" applyAlignment="1">
      <alignment/>
    </xf>
    <xf numFmtId="195" fontId="21" fillId="53" borderId="0" xfId="0" applyNumberFormat="1" applyFont="1" applyFill="1" applyAlignment="1">
      <alignment/>
    </xf>
    <xf numFmtId="193" fontId="49" fillId="8" borderId="0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/>
    </xf>
    <xf numFmtId="195" fontId="2" fillId="8" borderId="0" xfId="0" applyNumberFormat="1" applyFont="1" applyFill="1" applyBorder="1" applyAlignment="1">
      <alignment/>
    </xf>
    <xf numFmtId="0" fontId="34" fillId="0" borderId="0" xfId="0" applyFont="1" applyFill="1" applyBorder="1" applyAlignment="1" applyProtection="1">
      <alignment horizontal="right"/>
      <protection locked="0"/>
    </xf>
    <xf numFmtId="0" fontId="36" fillId="43" borderId="0" xfId="0" applyFont="1" applyFill="1" applyBorder="1" applyAlignment="1" applyProtection="1">
      <alignment horizontal="left"/>
      <protection locked="0"/>
    </xf>
    <xf numFmtId="193" fontId="49" fillId="8" borderId="18" xfId="0" applyNumberFormat="1" applyFont="1" applyFill="1" applyBorder="1" applyAlignment="1">
      <alignment horizontal="center" vertical="center" wrapText="1"/>
    </xf>
    <xf numFmtId="193" fontId="49" fillId="8" borderId="19" xfId="0" applyNumberFormat="1" applyFont="1" applyFill="1" applyBorder="1" applyAlignment="1">
      <alignment horizontal="center" vertical="center" wrapText="1"/>
    </xf>
    <xf numFmtId="193" fontId="49" fillId="8" borderId="20" xfId="0" applyNumberFormat="1" applyFont="1" applyFill="1" applyBorder="1" applyAlignment="1">
      <alignment horizontal="center" vertical="center" wrapText="1"/>
    </xf>
    <xf numFmtId="193" fontId="49" fillId="6" borderId="18" xfId="0" applyNumberFormat="1" applyFont="1" applyFill="1" applyBorder="1" applyAlignment="1">
      <alignment horizontal="center" vertical="center" wrapText="1"/>
    </xf>
    <xf numFmtId="193" fontId="49" fillId="6" borderId="19" xfId="0" applyNumberFormat="1" applyFont="1" applyFill="1" applyBorder="1" applyAlignment="1">
      <alignment horizontal="center" vertical="center" wrapText="1"/>
    </xf>
    <xf numFmtId="193" fontId="49" fillId="6" borderId="20" xfId="0" applyNumberFormat="1" applyFont="1" applyFill="1" applyBorder="1" applyAlignment="1">
      <alignment horizontal="center" vertical="center" wrapText="1"/>
    </xf>
    <xf numFmtId="193" fontId="49" fillId="13" borderId="18" xfId="0" applyNumberFormat="1" applyFont="1" applyFill="1" applyBorder="1" applyAlignment="1">
      <alignment horizontal="center" wrapText="1"/>
    </xf>
    <xf numFmtId="193" fontId="49" fillId="13" borderId="19" xfId="0" applyNumberFormat="1" applyFont="1" applyFill="1" applyBorder="1" applyAlignment="1">
      <alignment horizontal="center" wrapText="1"/>
    </xf>
    <xf numFmtId="193" fontId="49" fillId="13" borderId="20" xfId="0" applyNumberFormat="1" applyFont="1" applyFill="1" applyBorder="1" applyAlignment="1">
      <alignment horizontal="center" wrapText="1"/>
    </xf>
    <xf numFmtId="0" fontId="48" fillId="52" borderId="18" xfId="0" applyFont="1" applyFill="1" applyBorder="1" applyAlignment="1">
      <alignment horizontal="center"/>
    </xf>
    <xf numFmtId="0" fontId="48" fillId="52" borderId="19" xfId="0" applyFont="1" applyFill="1" applyBorder="1" applyAlignment="1">
      <alignment horizontal="center"/>
    </xf>
    <xf numFmtId="0" fontId="48" fillId="52" borderId="20" xfId="0" applyFont="1" applyFill="1" applyBorder="1" applyAlignment="1">
      <alignment horizontal="center"/>
    </xf>
    <xf numFmtId="0" fontId="48" fillId="7" borderId="18" xfId="0" applyFont="1" applyFill="1" applyBorder="1" applyAlignment="1">
      <alignment horizontal="center"/>
    </xf>
    <xf numFmtId="0" fontId="48" fillId="7" borderId="19" xfId="0" applyFont="1" applyFill="1" applyBorder="1" applyAlignment="1">
      <alignment horizontal="center"/>
    </xf>
    <xf numFmtId="0" fontId="48" fillId="7" borderId="20" xfId="0" applyFont="1" applyFill="1" applyBorder="1" applyAlignment="1">
      <alignment horizontal="center"/>
    </xf>
    <xf numFmtId="0" fontId="48" fillId="4" borderId="18" xfId="0" applyFont="1" applyFill="1" applyBorder="1" applyAlignment="1">
      <alignment horizontal="center"/>
    </xf>
    <xf numFmtId="0" fontId="48" fillId="4" borderId="19" xfId="0" applyFont="1" applyFill="1" applyBorder="1" applyAlignment="1">
      <alignment horizontal="center"/>
    </xf>
    <xf numFmtId="0" fontId="48" fillId="4" borderId="20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Заголовок сводной таблицы" xfId="33"/>
    <cellStyle name="Значение сводной таблицы" xfId="34"/>
    <cellStyle name="Категория сводной таблицы" xfId="35"/>
    <cellStyle name="Обычный 2" xfId="36"/>
    <cellStyle name="Обычный 3" xfId="37"/>
    <cellStyle name="Обычный 5" xfId="38"/>
    <cellStyle name="Обычный 6" xfId="39"/>
    <cellStyle name="Поле сводной таблицы" xfId="40"/>
    <cellStyle name="Результат сводной таблицы" xfId="41"/>
    <cellStyle name="Угол сводной таблицы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Comma" xfId="52"/>
    <cellStyle name="Comma [0]" xfId="53"/>
    <cellStyle name="Currency" xfId="54"/>
    <cellStyle name="Currency [0]" xfId="55"/>
    <cellStyle name="Excel Built-in Normal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3FF23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CC"/>
      <rgbColor rgb="00000080"/>
      <rgbColor rgb="00FF00FF"/>
      <rgbColor rgb="00FFFF00"/>
      <rgbColor rgb="003DEB3D"/>
      <rgbColor rgb="00800080"/>
      <rgbColor rgb="00800000"/>
      <rgbColor rgb="00008080"/>
      <rgbColor rgb="000000FF"/>
      <rgbColor rgb="0000CCFF"/>
      <rgbColor rgb="00E6E6FF"/>
      <rgbColor rgb="00E6E6E6"/>
      <rgbColor rgb="00FFFF99"/>
      <rgbColor rgb="0099CCFF"/>
      <rgbColor rgb="00FF99CC"/>
      <rgbColor rgb="00CC99FF"/>
      <rgbColor rgb="00FFCC99"/>
      <rgbColor rgb="003366FF"/>
      <rgbColor rgb="0033CC66"/>
      <rgbColor rgb="0094BD5E"/>
      <rgbColor rgb="00FFCC00"/>
      <rgbColor rgb="00FF9900"/>
      <rgbColor rgb="00FF3366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6"/>
  <sheetViews>
    <sheetView zoomScale="85" zoomScaleNormal="85" zoomScaleSheetLayoutView="100" zoomScalePageLayoutView="0" workbookViewId="0" topLeftCell="A37">
      <selection activeCell="A26" sqref="A26"/>
    </sheetView>
  </sheetViews>
  <sheetFormatPr defaultColWidth="77.125" defaultRowHeight="12.75"/>
  <cols>
    <col min="1" max="1" width="3.625" style="0" customWidth="1"/>
    <col min="2" max="2" width="11.875" style="1" customWidth="1"/>
    <col min="3" max="3" width="95.125" style="0" customWidth="1"/>
    <col min="4" max="4" width="13.625" style="0" customWidth="1"/>
    <col min="5" max="5" width="20.625" style="0" customWidth="1"/>
    <col min="6" max="6" width="23.00390625" style="0" customWidth="1"/>
    <col min="7" max="7" width="22.125" style="0" customWidth="1"/>
    <col min="8" max="8" width="18.875" style="0" customWidth="1"/>
    <col min="9" max="9" width="13.375" style="2" customWidth="1"/>
    <col min="10" max="10" width="19.125" style="2" customWidth="1"/>
    <col min="11" max="11" width="42.125" style="2" customWidth="1"/>
    <col min="12" max="12" width="74.00390625" style="2" customWidth="1"/>
    <col min="13" max="251" width="77.125" style="2" customWidth="1"/>
    <col min="252" max="16384" width="77.125" style="3" customWidth="1"/>
  </cols>
  <sheetData>
    <row r="1" spans="2:12" ht="18" customHeight="1">
      <c r="B1" s="4"/>
      <c r="C1" s="5" t="s">
        <v>13</v>
      </c>
      <c r="D1" s="4"/>
      <c r="E1" s="5"/>
      <c r="F1" s="5"/>
      <c r="G1" s="5"/>
      <c r="H1" s="6"/>
      <c r="I1" s="7"/>
      <c r="J1" s="7"/>
      <c r="K1" s="7"/>
      <c r="L1" s="7"/>
    </row>
    <row r="2" spans="2:12" ht="21.75" customHeight="1">
      <c r="B2" s="9">
        <v>1</v>
      </c>
      <c r="C2" s="8" t="s">
        <v>14</v>
      </c>
      <c r="D2" s="9" t="s">
        <v>9</v>
      </c>
      <c r="E2" s="35">
        <v>154.1</v>
      </c>
      <c r="F2" s="36"/>
      <c r="G2" s="10">
        <f>G55+G59</f>
        <v>213959.05671782413</v>
      </c>
      <c r="H2" s="11"/>
      <c r="I2" s="8"/>
      <c r="J2" s="37"/>
      <c r="K2" s="8"/>
      <c r="L2" s="8"/>
    </row>
    <row r="3" spans="2:12" ht="15.75">
      <c r="B3" s="38"/>
      <c r="C3" s="19" t="s">
        <v>15</v>
      </c>
      <c r="D3" s="39" t="s">
        <v>0</v>
      </c>
      <c r="E3" s="40" t="s">
        <v>16</v>
      </c>
      <c r="F3" s="41" t="s">
        <v>17</v>
      </c>
      <c r="G3" s="41" t="s">
        <v>18</v>
      </c>
      <c r="H3" s="42" t="s">
        <v>19</v>
      </c>
      <c r="I3" s="42" t="s">
        <v>1</v>
      </c>
      <c r="J3" s="43"/>
      <c r="K3" s="44" t="s">
        <v>20</v>
      </c>
      <c r="L3" s="44"/>
    </row>
    <row r="4" spans="2:12" ht="15.75">
      <c r="B4" s="45">
        <v>1</v>
      </c>
      <c r="C4" s="46" t="str">
        <f>C90</f>
        <v>Брус 100х100х4000</v>
      </c>
      <c r="D4" s="12" t="s">
        <v>3</v>
      </c>
      <c r="E4" s="47">
        <f>14/4*3</f>
        <v>10.5</v>
      </c>
      <c r="F4" s="14">
        <f>$F$90</f>
        <v>3650</v>
      </c>
      <c r="G4" s="14">
        <f aca="true" t="shared" si="0" ref="G4:G10">I4*F4</f>
        <v>1533.0000000000002</v>
      </c>
      <c r="H4" s="48">
        <f>E4*4</f>
        <v>42</v>
      </c>
      <c r="I4" s="15">
        <f>E4*0.1*0.1*4</f>
        <v>0.42000000000000004</v>
      </c>
      <c r="J4" s="17"/>
      <c r="K4" s="17">
        <f>H4*0.4</f>
        <v>16.8</v>
      </c>
      <c r="L4" s="17"/>
    </row>
    <row r="5" spans="2:12" ht="15.75">
      <c r="B5" s="45">
        <v>2</v>
      </c>
      <c r="C5" s="46" t="str">
        <f>C81</f>
        <v>Брус 50х100х4000</v>
      </c>
      <c r="D5" s="12" t="s">
        <v>3</v>
      </c>
      <c r="E5" s="47">
        <v>0</v>
      </c>
      <c r="F5" s="14">
        <f>$F$81</f>
        <v>3650</v>
      </c>
      <c r="G5" s="14">
        <f t="shared" si="0"/>
        <v>0</v>
      </c>
      <c r="H5" s="48">
        <f>E5*4</f>
        <v>0</v>
      </c>
      <c r="I5" s="15">
        <f>E5*0.05*0.1*4</f>
        <v>0</v>
      </c>
      <c r="J5" s="17"/>
      <c r="K5" s="17">
        <f>H5*0.3</f>
        <v>0</v>
      </c>
      <c r="L5" s="17"/>
    </row>
    <row r="6" spans="2:12" ht="15.75">
      <c r="B6" s="45">
        <v>2</v>
      </c>
      <c r="C6" s="46" t="str">
        <f>C83</f>
        <v>Брус 50х100х6000</v>
      </c>
      <c r="D6" s="12" t="s">
        <v>3</v>
      </c>
      <c r="E6" s="47">
        <v>0</v>
      </c>
      <c r="F6" s="14">
        <f>$F$83</f>
        <v>4000</v>
      </c>
      <c r="G6" s="14">
        <f t="shared" si="0"/>
        <v>0</v>
      </c>
      <c r="H6" s="48">
        <f>E6*6</f>
        <v>0</v>
      </c>
      <c r="I6" s="15">
        <f>E6*0.05*0.1*6</f>
        <v>0</v>
      </c>
      <c r="J6" s="17"/>
      <c r="K6" s="17">
        <f>H6*0.3</f>
        <v>0</v>
      </c>
      <c r="L6" s="17"/>
    </row>
    <row r="7" spans="2:12" ht="15.75">
      <c r="B7" s="45">
        <v>4</v>
      </c>
      <c r="C7" s="46" t="str">
        <f>$C$86</f>
        <v>Брус 50х150х6000</v>
      </c>
      <c r="D7" s="12" t="s">
        <v>3</v>
      </c>
      <c r="E7" s="47">
        <v>42</v>
      </c>
      <c r="F7" s="14">
        <f>$F$86</f>
        <v>4000</v>
      </c>
      <c r="G7" s="14">
        <f t="shared" si="0"/>
        <v>7560.000000000001</v>
      </c>
      <c r="H7" s="48">
        <f>E7*6</f>
        <v>252</v>
      </c>
      <c r="I7" s="15">
        <f>E7*0.05*0.15*6</f>
        <v>1.8900000000000001</v>
      </c>
      <c r="J7" s="17"/>
      <c r="K7" s="17">
        <f>H7*0.4</f>
        <v>100.80000000000001</v>
      </c>
      <c r="L7" s="17"/>
    </row>
    <row r="8" spans="2:12" ht="15.75">
      <c r="B8" s="45">
        <v>5</v>
      </c>
      <c r="C8" s="46" t="str">
        <f>C79</f>
        <v>Брус 40х70х4000</v>
      </c>
      <c r="D8" s="12" t="s">
        <v>3</v>
      </c>
      <c r="E8" s="47">
        <f>14/4*2</f>
        <v>7</v>
      </c>
      <c r="F8" s="14">
        <f>$F$79</f>
        <v>4000</v>
      </c>
      <c r="G8" s="14">
        <f t="shared" si="0"/>
        <v>313.6</v>
      </c>
      <c r="H8" s="48">
        <f>E8*4</f>
        <v>28</v>
      </c>
      <c r="I8" s="15">
        <f>E8*0.07*0.04*4</f>
        <v>0.07840000000000001</v>
      </c>
      <c r="J8" s="17"/>
      <c r="K8" s="17">
        <f>H8*0.22</f>
        <v>6.16</v>
      </c>
      <c r="L8" s="17"/>
    </row>
    <row r="9" spans="2:12" ht="15.75">
      <c r="B9" s="45">
        <v>6</v>
      </c>
      <c r="C9" s="46" t="str">
        <f>C124</f>
        <v>Доска 25х100х4000</v>
      </c>
      <c r="D9" s="12" t="s">
        <v>3</v>
      </c>
      <c r="E9" s="47">
        <f>14/4*34</f>
        <v>119</v>
      </c>
      <c r="F9" s="14">
        <f>F124</f>
        <v>3650</v>
      </c>
      <c r="G9" s="14">
        <f t="shared" si="0"/>
        <v>4343.500000000001</v>
      </c>
      <c r="H9" s="48">
        <f>E9*4</f>
        <v>476</v>
      </c>
      <c r="I9" s="49">
        <f>E9*0.025*0.1*4</f>
        <v>1.1900000000000002</v>
      </c>
      <c r="J9" s="17"/>
      <c r="K9" s="50">
        <f>H9*0.25</f>
        <v>119</v>
      </c>
      <c r="L9" s="17"/>
    </row>
    <row r="10" spans="2:12" ht="15.75">
      <c r="B10" s="45">
        <v>7</v>
      </c>
      <c r="C10" s="46" t="str">
        <f>C184</f>
        <v>Рейка 50х25х3000</v>
      </c>
      <c r="D10" s="12" t="s">
        <v>3</v>
      </c>
      <c r="E10" s="47">
        <f>(H7+H5+H6)/3*1.05+0.5</f>
        <v>88.7</v>
      </c>
      <c r="F10" s="14">
        <f>F184</f>
        <v>4500</v>
      </c>
      <c r="G10" s="14">
        <f t="shared" si="0"/>
        <v>1496.8125000000002</v>
      </c>
      <c r="H10" s="48">
        <f>E10*3</f>
        <v>266.1</v>
      </c>
      <c r="I10" s="49">
        <f>E10*0.05*0.025*3</f>
        <v>0.33262500000000006</v>
      </c>
      <c r="J10" s="17"/>
      <c r="K10" s="50">
        <f>H10*0.15</f>
        <v>39.915</v>
      </c>
      <c r="L10" s="17"/>
    </row>
    <row r="11" spans="1:12" s="34" customFormat="1" ht="15.75">
      <c r="A11"/>
      <c r="B11" s="51"/>
      <c r="C11" s="52" t="s">
        <v>6</v>
      </c>
      <c r="D11" s="53"/>
      <c r="E11" s="54"/>
      <c r="F11" s="55"/>
      <c r="G11" s="56">
        <f>SUM(G4:G10)</f>
        <v>15246.912500000002</v>
      </c>
      <c r="H11" s="57">
        <f>SUM(H4:H10)</f>
        <v>1064.1</v>
      </c>
      <c r="I11" s="58">
        <f>SUM(I4:I10)</f>
        <v>3.9110250000000004</v>
      </c>
      <c r="J11" s="59"/>
      <c r="K11" s="60">
        <f>SUM(K4:K10)</f>
        <v>282.675</v>
      </c>
      <c r="L11" s="59"/>
    </row>
    <row r="12" spans="2:12" ht="15.75">
      <c r="B12" s="18"/>
      <c r="C12" s="61" t="s">
        <v>21</v>
      </c>
      <c r="D12" s="62"/>
      <c r="E12" s="63"/>
      <c r="F12" s="64"/>
      <c r="G12" s="65"/>
      <c r="H12" s="42"/>
      <c r="I12" s="33"/>
      <c r="J12" s="43"/>
      <c r="K12" s="33"/>
      <c r="L12" s="33"/>
    </row>
    <row r="13" spans="2:12" ht="15.75">
      <c r="B13" s="45">
        <v>1</v>
      </c>
      <c r="C13" s="46" t="str">
        <f>C124</f>
        <v>Доска 25х100х4000</v>
      </c>
      <c r="D13" s="12" t="s">
        <v>3</v>
      </c>
      <c r="E13" s="47">
        <f>(E22*8+E23*5)/4*1.05+0.5</f>
        <v>88.7</v>
      </c>
      <c r="F13" s="14">
        <f>F124</f>
        <v>3650</v>
      </c>
      <c r="G13" s="14">
        <f>I13*F13</f>
        <v>3237.5500000000006</v>
      </c>
      <c r="H13" s="48">
        <f>E13*4</f>
        <v>354.8</v>
      </c>
      <c r="I13" s="49">
        <f>E13*0.1*0.025*4</f>
        <v>0.8870000000000001</v>
      </c>
      <c r="J13" s="17"/>
      <c r="K13" s="17">
        <f>H13*0.25</f>
        <v>88.7</v>
      </c>
      <c r="L13" s="16"/>
    </row>
    <row r="14" spans="2:12" ht="15.75">
      <c r="B14" s="45">
        <v>2</v>
      </c>
      <c r="C14" s="46" t="str">
        <f>C80</f>
        <v>Брус 50х50х4000</v>
      </c>
      <c r="D14" s="12" t="s">
        <v>3</v>
      </c>
      <c r="E14" s="47">
        <f>(E22/0.7*0.8)/4*1.05+0.5</f>
        <v>8.9</v>
      </c>
      <c r="F14" s="14">
        <f>$F$80</f>
        <v>3650</v>
      </c>
      <c r="G14" s="14">
        <f>I14*F14</f>
        <v>324.8500000000001</v>
      </c>
      <c r="H14" s="48">
        <f>E14*4</f>
        <v>35.6</v>
      </c>
      <c r="I14" s="49">
        <f>E14*0.05*0.05*4</f>
        <v>0.08900000000000002</v>
      </c>
      <c r="J14" s="17"/>
      <c r="K14" s="50">
        <f>H14*0.2</f>
        <v>7.120000000000001</v>
      </c>
      <c r="L14" s="16"/>
    </row>
    <row r="15" spans="1:12" s="34" customFormat="1" ht="15.75">
      <c r="A15"/>
      <c r="B15" s="51"/>
      <c r="C15" s="52" t="s">
        <v>6</v>
      </c>
      <c r="D15" s="53"/>
      <c r="E15" s="66"/>
      <c r="F15" s="66"/>
      <c r="G15" s="67">
        <f>SUM(G13:G14)</f>
        <v>3562.4000000000005</v>
      </c>
      <c r="H15" s="68">
        <f>SUM(H13:H14)</f>
        <v>390.40000000000003</v>
      </c>
      <c r="I15" s="69">
        <f>SUM(I13:I14)</f>
        <v>0.9760000000000002</v>
      </c>
      <c r="J15" s="59"/>
      <c r="K15" s="60">
        <f>SUM(K13:K14)</f>
        <v>95.82000000000001</v>
      </c>
      <c r="L15" s="59"/>
    </row>
    <row r="16" spans="2:12" ht="15.75">
      <c r="B16" s="70"/>
      <c r="C16" s="61" t="s">
        <v>22</v>
      </c>
      <c r="D16" s="71"/>
      <c r="E16" s="65"/>
      <c r="F16" s="65"/>
      <c r="G16" s="24"/>
      <c r="H16" s="72"/>
      <c r="I16" s="33"/>
      <c r="J16" s="43"/>
      <c r="K16" s="33"/>
      <c r="L16" s="33"/>
    </row>
    <row r="17" spans="2:12" ht="31.5">
      <c r="B17" s="73"/>
      <c r="C17" s="74" t="s">
        <v>23</v>
      </c>
      <c r="D17" s="12" t="s">
        <v>9</v>
      </c>
      <c r="E17" s="14">
        <v>154.1</v>
      </c>
      <c r="F17" s="14"/>
      <c r="G17" s="14"/>
      <c r="H17" s="15" t="s">
        <v>24</v>
      </c>
      <c r="I17" s="16"/>
      <c r="J17" s="16"/>
      <c r="K17" s="16"/>
      <c r="L17" s="16"/>
    </row>
    <row r="18" spans="2:12" ht="15.75">
      <c r="B18" s="73"/>
      <c r="C18" s="74" t="s">
        <v>25</v>
      </c>
      <c r="D18" s="12" t="s">
        <v>9</v>
      </c>
      <c r="E18" s="14">
        <v>0</v>
      </c>
      <c r="F18" s="14"/>
      <c r="G18" s="14"/>
      <c r="H18" s="15"/>
      <c r="I18" s="16"/>
      <c r="J18" s="16"/>
      <c r="K18" s="16"/>
      <c r="L18" s="16"/>
    </row>
    <row r="19" spans="2:12" ht="15.75">
      <c r="B19" s="73"/>
      <c r="C19" s="74" t="s">
        <v>26</v>
      </c>
      <c r="D19" s="12" t="s">
        <v>2</v>
      </c>
      <c r="E19" s="14">
        <v>14</v>
      </c>
      <c r="F19" s="14"/>
      <c r="G19" s="14"/>
      <c r="H19" s="15"/>
      <c r="I19" s="16"/>
      <c r="J19" s="16"/>
      <c r="K19" s="16"/>
      <c r="L19" s="16"/>
    </row>
    <row r="20" spans="2:12" ht="15.75">
      <c r="B20" s="73"/>
      <c r="C20" s="74" t="s">
        <v>27</v>
      </c>
      <c r="D20" s="12" t="s">
        <v>2</v>
      </c>
      <c r="E20" s="14">
        <v>0</v>
      </c>
      <c r="F20" s="14"/>
      <c r="G20" s="14"/>
      <c r="H20" s="15"/>
      <c r="I20" s="16"/>
      <c r="J20" s="16"/>
      <c r="K20" s="16"/>
      <c r="L20" s="16"/>
    </row>
    <row r="21" spans="2:12" ht="15.75">
      <c r="B21" s="73"/>
      <c r="C21" s="74" t="s">
        <v>28</v>
      </c>
      <c r="D21" s="12" t="s">
        <v>2</v>
      </c>
      <c r="E21" s="14">
        <v>0</v>
      </c>
      <c r="F21" s="14"/>
      <c r="G21" s="14"/>
      <c r="H21" s="15"/>
      <c r="I21" s="16"/>
      <c r="J21" s="16"/>
      <c r="K21" s="16"/>
      <c r="L21" s="16"/>
    </row>
    <row r="22" spans="2:12" ht="15.75">
      <c r="B22" s="73"/>
      <c r="C22" s="74" t="s">
        <v>29</v>
      </c>
      <c r="D22" s="12" t="s">
        <v>2</v>
      </c>
      <c r="E22" s="14">
        <v>28</v>
      </c>
      <c r="F22" s="14"/>
      <c r="G22" s="14"/>
      <c r="H22" s="15"/>
      <c r="I22" s="16"/>
      <c r="J22" s="16"/>
      <c r="K22" s="16"/>
      <c r="L22" s="16"/>
    </row>
    <row r="23" spans="2:12" ht="15.75">
      <c r="B23" s="73"/>
      <c r="C23" s="74" t="s">
        <v>30</v>
      </c>
      <c r="D23" s="12" t="s">
        <v>2</v>
      </c>
      <c r="E23" s="14">
        <f>11.2*2</f>
        <v>22.4</v>
      </c>
      <c r="F23" s="14"/>
      <c r="G23" s="14"/>
      <c r="H23" s="15"/>
      <c r="I23" s="16"/>
      <c r="J23" s="16"/>
      <c r="K23" s="16"/>
      <c r="L23" s="16"/>
    </row>
    <row r="24" spans="2:12" ht="15.75">
      <c r="B24" s="73"/>
      <c r="C24" s="74" t="s">
        <v>31</v>
      </c>
      <c r="D24" s="12" t="s">
        <v>2</v>
      </c>
      <c r="E24" s="14">
        <v>0</v>
      </c>
      <c r="F24" s="14"/>
      <c r="G24" s="14"/>
      <c r="H24" s="15"/>
      <c r="I24" s="16"/>
      <c r="J24" s="16"/>
      <c r="K24" s="16"/>
      <c r="L24" s="16"/>
    </row>
    <row r="25" spans="2:12" ht="15.75">
      <c r="B25" s="75">
        <v>2</v>
      </c>
      <c r="C25" s="46" t="str">
        <f>C126</f>
        <v>Евробарьер (75 м2)  Fakro EUROTOP L2 (плотность 90 г/м2)</v>
      </c>
      <c r="D25" s="12" t="s">
        <v>9</v>
      </c>
      <c r="E25" s="14">
        <f>E17*1.2</f>
        <v>184.92</v>
      </c>
      <c r="F25" s="14">
        <f>F126</f>
        <v>9.88</v>
      </c>
      <c r="G25" s="14">
        <f>E25*F25</f>
        <v>1827.0096</v>
      </c>
      <c r="H25" s="15"/>
      <c r="I25" s="16"/>
      <c r="J25" s="16"/>
      <c r="K25" s="16"/>
      <c r="L25" s="16"/>
    </row>
    <row r="26" spans="2:12" ht="15.75">
      <c r="B26" s="75">
        <v>2</v>
      </c>
      <c r="C26" s="13" t="str">
        <f>C178</f>
        <v>Планка конька </v>
      </c>
      <c r="D26" s="12" t="s">
        <v>19</v>
      </c>
      <c r="E26" s="14">
        <f>E19*1.1</f>
        <v>15.400000000000002</v>
      </c>
      <c r="F26" s="22">
        <f>F178</f>
        <v>180</v>
      </c>
      <c r="G26" s="22">
        <f>E26*F26</f>
        <v>2772.0000000000005</v>
      </c>
      <c r="H26" s="15"/>
      <c r="I26" s="16"/>
      <c r="J26" s="16"/>
      <c r="K26" s="16"/>
      <c r="L26" s="16"/>
    </row>
    <row r="27" spans="2:12" ht="15.75">
      <c r="B27" s="75">
        <v>8</v>
      </c>
      <c r="C27" s="46" t="str">
        <f>C150</f>
        <v>Металлочерепица RunTech M3945 РЕMA 0,45мм</v>
      </c>
      <c r="D27" s="12" t="s">
        <v>9</v>
      </c>
      <c r="E27" s="14">
        <f>E17*1180/1100</f>
        <v>165.30727272727273</v>
      </c>
      <c r="F27" s="14">
        <f>$F$150</f>
        <v>190</v>
      </c>
      <c r="G27" s="14">
        <f>E27*F27</f>
        <v>31408.38181818182</v>
      </c>
      <c r="H27" s="15"/>
      <c r="I27" s="16"/>
      <c r="J27" s="16"/>
      <c r="K27" s="16"/>
      <c r="L27" s="16"/>
    </row>
    <row r="28" spans="2:12" ht="15.75">
      <c r="B28" s="75">
        <v>13</v>
      </c>
      <c r="C28" s="46" t="str">
        <f>C186</f>
        <v>Рубероид</v>
      </c>
      <c r="D28" s="12" t="s">
        <v>9</v>
      </c>
      <c r="E28" s="14">
        <f>(E22+E23)/0.61*0.5*0.5+E22*0.2</f>
        <v>26.255737704918033</v>
      </c>
      <c r="F28" s="14">
        <f>F186</f>
        <v>9.4</v>
      </c>
      <c r="G28" s="14">
        <f>E28*F28</f>
        <v>246.80393442622952</v>
      </c>
      <c r="H28" s="15"/>
      <c r="I28" s="16"/>
      <c r="J28" s="16"/>
      <c r="K28" s="30"/>
      <c r="L28" s="16" t="s">
        <v>374</v>
      </c>
    </row>
    <row r="29" spans="2:12" ht="15.75">
      <c r="B29" s="75">
        <v>14</v>
      </c>
      <c r="C29" s="76" t="str">
        <f>C151</f>
        <v>Огнебиозащита Страж-2 БС-13 сухая смесь 3 кг.</v>
      </c>
      <c r="D29" s="12" t="s">
        <v>4</v>
      </c>
      <c r="E29" s="14">
        <f>(K15+K11)/40</f>
        <v>9.462375</v>
      </c>
      <c r="F29" s="14">
        <f>F151</f>
        <v>80</v>
      </c>
      <c r="G29" s="14">
        <f>E29*F29</f>
        <v>756.99</v>
      </c>
      <c r="H29" s="15"/>
      <c r="I29" s="16"/>
      <c r="J29" s="16"/>
      <c r="K29" s="30"/>
      <c r="L29" s="16"/>
    </row>
    <row r="30" spans="1:12" s="34" customFormat="1" ht="15.75">
      <c r="A30"/>
      <c r="B30" s="77"/>
      <c r="C30" s="52" t="s">
        <v>6</v>
      </c>
      <c r="D30" s="78"/>
      <c r="E30" s="79"/>
      <c r="F30" s="79"/>
      <c r="G30" s="67">
        <f>SUM(G25:G29)</f>
        <v>37011.185352608045</v>
      </c>
      <c r="H30" s="15"/>
      <c r="I30" s="17"/>
      <c r="J30" s="17"/>
      <c r="K30" s="17"/>
      <c r="L30" s="17"/>
    </row>
    <row r="31" spans="2:12" ht="15.75">
      <c r="B31" s="70"/>
      <c r="C31" s="61" t="s">
        <v>34</v>
      </c>
      <c r="D31" s="71"/>
      <c r="E31" s="65"/>
      <c r="F31" s="65"/>
      <c r="G31" s="24"/>
      <c r="H31" s="72"/>
      <c r="I31" s="33"/>
      <c r="J31" s="43"/>
      <c r="K31" s="33"/>
      <c r="L31" s="33"/>
    </row>
    <row r="32" spans="2:12" ht="15.75">
      <c r="B32" s="75">
        <v>1</v>
      </c>
      <c r="C32" s="46" t="str">
        <f>C197</f>
        <v>Соединительный уголок 90х105х105 мм.(крепление стропил)</v>
      </c>
      <c r="D32" s="12" t="s">
        <v>3</v>
      </c>
      <c r="E32" s="14">
        <f>(H4+E23)/0.7*2</f>
        <v>184.00000000000003</v>
      </c>
      <c r="F32" s="14">
        <f>F197</f>
        <v>28.8</v>
      </c>
      <c r="G32" s="22">
        <f aca="true" t="shared" si="1" ref="G32:G42">E32*F32</f>
        <v>5299.200000000001</v>
      </c>
      <c r="H32" s="21"/>
      <c r="I32" s="16"/>
      <c r="J32" s="16"/>
      <c r="K32" s="17"/>
      <c r="L32" s="16"/>
    </row>
    <row r="33" spans="2:12" ht="15.75">
      <c r="B33" s="75">
        <v>2</v>
      </c>
      <c r="C33" s="46" t="str">
        <f>C231</f>
        <v>Шпилька Ø 14х1000 мм</v>
      </c>
      <c r="D33" s="12" t="s">
        <v>10</v>
      </c>
      <c r="E33" s="14">
        <f>(H4)/2</f>
        <v>21</v>
      </c>
      <c r="F33" s="14">
        <f>F231</f>
        <v>37</v>
      </c>
      <c r="G33" s="22">
        <f t="shared" si="1"/>
        <v>777</v>
      </c>
      <c r="H33" s="21"/>
      <c r="I33" s="16"/>
      <c r="J33" s="16"/>
      <c r="K33" s="16" t="s">
        <v>35</v>
      </c>
      <c r="L33" s="16"/>
    </row>
    <row r="34" spans="2:12" ht="18" customHeight="1">
      <c r="B34" s="75">
        <v>3</v>
      </c>
      <c r="C34" s="46" t="str">
        <f>$C$61</f>
        <v>Анкерная смесь церезит СХ5</v>
      </c>
      <c r="D34" s="12" t="s">
        <v>4</v>
      </c>
      <c r="E34" s="14">
        <f>(H4)*0.12</f>
        <v>5.04</v>
      </c>
      <c r="F34" s="14">
        <f>$F$61</f>
        <v>60</v>
      </c>
      <c r="G34" s="22">
        <f t="shared" si="1"/>
        <v>302.4</v>
      </c>
      <c r="H34" s="21"/>
      <c r="I34" s="16"/>
      <c r="J34" s="16"/>
      <c r="K34" s="16" t="s">
        <v>36</v>
      </c>
      <c r="L34" s="16"/>
    </row>
    <row r="35" spans="2:12" ht="15.75">
      <c r="B35" s="75">
        <v>5</v>
      </c>
      <c r="C35" s="46" t="str">
        <f>C112</f>
        <v>Гайка М14. Для шпилек.</v>
      </c>
      <c r="D35" s="12" t="s">
        <v>10</v>
      </c>
      <c r="E35" s="14">
        <f>(E33)*2+4</f>
        <v>46</v>
      </c>
      <c r="F35" s="14">
        <f>$F$112</f>
        <v>2.5</v>
      </c>
      <c r="G35" s="22">
        <f t="shared" si="1"/>
        <v>115</v>
      </c>
      <c r="H35" s="21"/>
      <c r="I35" s="16"/>
      <c r="J35" s="27"/>
      <c r="K35" s="80" t="s">
        <v>37</v>
      </c>
      <c r="L35" s="16"/>
    </row>
    <row r="36" spans="2:12" ht="15.75">
      <c r="B36" s="75">
        <v>6</v>
      </c>
      <c r="C36" s="46" t="str">
        <f>C221</f>
        <v>Шайба плоская увеличенная DIN 440 (М14 60х4 мм.) Для шурупов и шпилек.</v>
      </c>
      <c r="D36" s="12" t="s">
        <v>10</v>
      </c>
      <c r="E36" s="14">
        <f>E35</f>
        <v>46</v>
      </c>
      <c r="F36" s="14">
        <f>F221</f>
        <v>1.5</v>
      </c>
      <c r="G36" s="22">
        <f t="shared" si="1"/>
        <v>69</v>
      </c>
      <c r="H36" s="21"/>
      <c r="I36" s="16"/>
      <c r="J36" s="27"/>
      <c r="K36" s="80" t="s">
        <v>37</v>
      </c>
      <c r="L36" s="16"/>
    </row>
    <row r="37" spans="2:12" ht="15.75">
      <c r="B37" s="75">
        <v>7</v>
      </c>
      <c r="C37" s="13" t="str">
        <f>$C$188</f>
        <v>Саморез 5*40 Оцинкованный</v>
      </c>
      <c r="D37" s="12" t="s">
        <v>10</v>
      </c>
      <c r="E37" s="14">
        <f>E32*10</f>
        <v>1840.0000000000002</v>
      </c>
      <c r="F37" s="14">
        <f>F189</f>
        <v>0.155</v>
      </c>
      <c r="G37" s="22">
        <f t="shared" si="1"/>
        <v>285.20000000000005</v>
      </c>
      <c r="H37" s="21"/>
      <c r="I37" s="16"/>
      <c r="J37" s="16"/>
      <c r="K37" s="81" t="s">
        <v>38</v>
      </c>
      <c r="L37" s="30"/>
    </row>
    <row r="38" spans="2:12" ht="15.75">
      <c r="B38" s="75">
        <v>7</v>
      </c>
      <c r="C38" s="13" t="str">
        <f>$C$190</f>
        <v>Саморез 3,5*55</v>
      </c>
      <c r="D38" s="12" t="s">
        <v>10</v>
      </c>
      <c r="E38" s="14">
        <f>((E22+E23)*16)/0.7+E18/0.7*2.5</f>
        <v>1152</v>
      </c>
      <c r="F38" s="14">
        <f>F190</f>
        <v>0.28</v>
      </c>
      <c r="G38" s="22">
        <f t="shared" si="1"/>
        <v>322.56000000000006</v>
      </c>
      <c r="H38" s="21"/>
      <c r="I38" s="16"/>
      <c r="J38" s="16"/>
      <c r="K38" s="81" t="s">
        <v>38</v>
      </c>
      <c r="L38" s="30"/>
    </row>
    <row r="39" spans="2:12" ht="15.75">
      <c r="B39" s="75">
        <v>8</v>
      </c>
      <c r="C39" s="46" t="str">
        <f>C191</f>
        <v>Саморез 3,5*75</v>
      </c>
      <c r="D39" s="12" t="s">
        <v>10</v>
      </c>
      <c r="E39" s="14">
        <f>(E22+E23)*5/0.6</f>
        <v>420</v>
      </c>
      <c r="F39" s="14">
        <f>F191</f>
        <v>0.155</v>
      </c>
      <c r="G39" s="22">
        <f t="shared" si="1"/>
        <v>65.1</v>
      </c>
      <c r="H39" s="21"/>
      <c r="I39" s="16"/>
      <c r="J39" s="16"/>
      <c r="K39" s="17" t="s">
        <v>39</v>
      </c>
      <c r="L39" s="30"/>
    </row>
    <row r="40" spans="1:12" s="34" customFormat="1" ht="15.75">
      <c r="A40"/>
      <c r="B40" s="75">
        <v>10</v>
      </c>
      <c r="C40" s="46" t="str">
        <f>C113</f>
        <v>Гвозди К 3,5X90 ГОСТ 4028—63</v>
      </c>
      <c r="D40" s="12" t="s">
        <v>4</v>
      </c>
      <c r="E40" s="14">
        <f>E17*6.6*12/1000</f>
        <v>12.20472</v>
      </c>
      <c r="F40" s="14">
        <f>F113</f>
        <v>22</v>
      </c>
      <c r="G40" s="22">
        <f t="shared" si="1"/>
        <v>268.50384</v>
      </c>
      <c r="H40" s="15"/>
      <c r="I40" s="17"/>
      <c r="J40" s="17"/>
      <c r="K40" s="17" t="s">
        <v>40</v>
      </c>
      <c r="L40" s="17"/>
    </row>
    <row r="41" spans="2:12" ht="15.75">
      <c r="B41" s="75">
        <v>11</v>
      </c>
      <c r="C41" s="46" t="str">
        <f>C115</f>
        <v>Гвозди К 5,0X120 ГОСТ 4028—63</v>
      </c>
      <c r="D41" s="12" t="s">
        <v>4</v>
      </c>
      <c r="E41" s="14">
        <v>7</v>
      </c>
      <c r="F41" s="14">
        <f>F115</f>
        <v>33</v>
      </c>
      <c r="G41" s="22">
        <f t="shared" si="1"/>
        <v>231</v>
      </c>
      <c r="H41" s="21"/>
      <c r="I41" s="16"/>
      <c r="J41" s="16"/>
      <c r="K41" s="82" t="s">
        <v>41</v>
      </c>
      <c r="L41" s="16"/>
    </row>
    <row r="42" spans="2:12" ht="15.75">
      <c r="B42" s="75">
        <v>12</v>
      </c>
      <c r="C42" s="46" t="str">
        <f>C116</f>
        <v>Гвозди К 5,0X150 ГОСТ 4028—63</v>
      </c>
      <c r="D42" s="12" t="s">
        <v>4</v>
      </c>
      <c r="E42" s="14">
        <v>7</v>
      </c>
      <c r="F42" s="14">
        <f>F116</f>
        <v>31</v>
      </c>
      <c r="G42" s="22">
        <f t="shared" si="1"/>
        <v>217</v>
      </c>
      <c r="H42" s="15"/>
      <c r="I42" s="16"/>
      <c r="J42" s="16"/>
      <c r="K42" s="30" t="s">
        <v>41</v>
      </c>
      <c r="L42" s="16"/>
    </row>
    <row r="43" spans="1:12" s="86" customFormat="1" ht="15.75">
      <c r="A43"/>
      <c r="B43" s="83"/>
      <c r="C43" s="52" t="s">
        <v>6</v>
      </c>
      <c r="D43" s="84"/>
      <c r="E43" s="85"/>
      <c r="F43" s="85"/>
      <c r="G43" s="67">
        <f>SUM(G32:G42)</f>
        <v>7951.963840000001</v>
      </c>
      <c r="H43" s="23"/>
      <c r="I43" s="28"/>
      <c r="J43" s="28"/>
      <c r="K43" s="28"/>
      <c r="L43" s="28"/>
    </row>
    <row r="44" spans="2:12" ht="15.75">
      <c r="B44" s="70"/>
      <c r="C44" s="19" t="s">
        <v>42</v>
      </c>
      <c r="D44" s="71"/>
      <c r="E44" s="65"/>
      <c r="F44" s="65"/>
      <c r="G44" s="24"/>
      <c r="H44" s="72"/>
      <c r="I44" s="33"/>
      <c r="J44" s="33"/>
      <c r="K44" s="33"/>
      <c r="L44" s="33"/>
    </row>
    <row r="45" spans="2:12" ht="15.75">
      <c r="B45" s="70"/>
      <c r="C45" s="87" t="s">
        <v>43</v>
      </c>
      <c r="D45" s="71" t="s">
        <v>9</v>
      </c>
      <c r="E45" s="88">
        <f>H45*0.7</f>
        <v>15.68</v>
      </c>
      <c r="F45" s="65" t="s">
        <v>44</v>
      </c>
      <c r="G45" s="65"/>
      <c r="H45" s="89">
        <f>E23</f>
        <v>22.4</v>
      </c>
      <c r="I45" s="33"/>
      <c r="J45" s="33"/>
      <c r="K45" s="33"/>
      <c r="L45" s="33"/>
    </row>
    <row r="46" spans="2:12" ht="15.75">
      <c r="B46" s="70"/>
      <c r="C46" s="87" t="s">
        <v>45</v>
      </c>
      <c r="D46" s="71" t="s">
        <v>9</v>
      </c>
      <c r="E46" s="88">
        <f>H46*0.7</f>
        <v>19.6</v>
      </c>
      <c r="F46" s="65" t="s">
        <v>44</v>
      </c>
      <c r="G46" s="65"/>
      <c r="H46" s="89">
        <f>E22</f>
        <v>28</v>
      </c>
      <c r="I46" s="33"/>
      <c r="J46" s="33"/>
      <c r="K46" s="33"/>
      <c r="L46" s="33"/>
    </row>
    <row r="47" spans="2:12" ht="15.75">
      <c r="B47" s="75">
        <v>2</v>
      </c>
      <c r="C47" s="13" t="str">
        <f>C234</f>
        <v>L-образная планка 200 мм. Металл RUUKI цвет RR32</v>
      </c>
      <c r="D47" s="12" t="s">
        <v>19</v>
      </c>
      <c r="E47" s="14">
        <f>(H45+H46)*1.05</f>
        <v>52.92</v>
      </c>
      <c r="F47" s="22">
        <f>F234</f>
        <v>98</v>
      </c>
      <c r="G47" s="22">
        <f>E47*F47</f>
        <v>5186.16</v>
      </c>
      <c r="H47" s="15"/>
      <c r="I47" s="16"/>
      <c r="J47" s="16">
        <v>10</v>
      </c>
      <c r="K47" s="16"/>
      <c r="L47" s="16"/>
    </row>
    <row r="48" spans="2:12" ht="15.75">
      <c r="B48" s="75">
        <v>3</v>
      </c>
      <c r="C48" s="13" t="str">
        <f>C217</f>
        <v>Фронтонная планка. Металл RUUKI цвет RR32</v>
      </c>
      <c r="D48" s="12" t="s">
        <v>32</v>
      </c>
      <c r="E48" s="14">
        <f>H45*1.05</f>
        <v>23.52</v>
      </c>
      <c r="F48" s="22">
        <f>F217</f>
        <v>22</v>
      </c>
      <c r="G48" s="22">
        <f>E48*F48</f>
        <v>517.4399999999999</v>
      </c>
      <c r="H48" s="15"/>
      <c r="I48" s="16"/>
      <c r="J48" s="16">
        <v>10</v>
      </c>
      <c r="K48" s="16"/>
      <c r="L48" s="16"/>
    </row>
    <row r="49" spans="2:12" ht="15.75">
      <c r="B49" s="75">
        <v>4</v>
      </c>
      <c r="C49" s="13" t="str">
        <f>C205</f>
        <v>Угол внутренний 40х40 мм. Металл RUUKI цвет RR32</v>
      </c>
      <c r="D49" s="12" t="s">
        <v>32</v>
      </c>
      <c r="E49" s="14">
        <f>(H45+H46)*1.05</f>
        <v>52.92</v>
      </c>
      <c r="F49" s="22">
        <f>F205</f>
        <v>57</v>
      </c>
      <c r="G49" s="22">
        <f>E49*F49</f>
        <v>3016.44</v>
      </c>
      <c r="H49" s="15"/>
      <c r="I49" s="16"/>
      <c r="J49" s="16"/>
      <c r="K49" s="17"/>
      <c r="L49" s="30"/>
    </row>
    <row r="50" spans="2:12" ht="15.75">
      <c r="B50" s="75">
        <v>5</v>
      </c>
      <c r="C50" s="13" t="str">
        <f>C183</f>
        <v>Профнастил облицовочный С -15. Металл RUUKI цвет RR32</v>
      </c>
      <c r="D50" s="12" t="s">
        <v>9</v>
      </c>
      <c r="E50" s="14">
        <f>(E45+E46)*1.1</f>
        <v>38.80800000000001</v>
      </c>
      <c r="F50" s="22">
        <f>F183</f>
        <v>164.5</v>
      </c>
      <c r="G50" s="22">
        <f>E50*F50</f>
        <v>6383.916000000001</v>
      </c>
      <c r="H50" s="15"/>
      <c r="I50" s="16"/>
      <c r="J50" s="16">
        <v>10</v>
      </c>
      <c r="K50" s="16"/>
      <c r="L50" s="16"/>
    </row>
    <row r="51" spans="2:12" ht="15.75">
      <c r="B51" s="75">
        <v>6</v>
      </c>
      <c r="C51" s="13" t="str">
        <f>C187</f>
        <v>Саморез кровельный по дереву 4,8х60 RAL 8019</v>
      </c>
      <c r="D51" s="12" t="s">
        <v>10</v>
      </c>
      <c r="E51" s="14">
        <f>(E45*7+E46*14)*1.1</f>
        <v>422.5760000000001</v>
      </c>
      <c r="F51" s="22">
        <f>F187</f>
        <v>0.99</v>
      </c>
      <c r="G51" s="22">
        <f>E51*F51</f>
        <v>418.3502400000001</v>
      </c>
      <c r="H51" s="15"/>
      <c r="I51" s="16"/>
      <c r="J51" s="16">
        <v>10</v>
      </c>
      <c r="K51" s="17" t="s">
        <v>46</v>
      </c>
      <c r="L51" s="30"/>
    </row>
    <row r="52" spans="1:12" s="34" customFormat="1" ht="15.75">
      <c r="A52"/>
      <c r="B52" s="77"/>
      <c r="C52" s="90" t="s">
        <v>6</v>
      </c>
      <c r="D52" s="78"/>
      <c r="E52" s="79"/>
      <c r="F52" s="79"/>
      <c r="G52" s="67">
        <f>SUM(G26:G51)</f>
        <v>103621.59502521608</v>
      </c>
      <c r="H52" s="15"/>
      <c r="I52" s="17"/>
      <c r="J52" s="17"/>
      <c r="K52" s="17"/>
      <c r="L52" s="17"/>
    </row>
    <row r="53" spans="2:12" ht="15.75">
      <c r="B53" s="70"/>
      <c r="C53" s="19" t="s">
        <v>47</v>
      </c>
      <c r="D53" s="91"/>
      <c r="E53" s="92"/>
      <c r="F53" s="92"/>
      <c r="G53" s="24"/>
      <c r="H53" s="93"/>
      <c r="I53" s="94"/>
      <c r="J53" s="94"/>
      <c r="K53" s="94"/>
      <c r="L53" s="94"/>
    </row>
    <row r="54" spans="1:12" s="34" customFormat="1" ht="15.75">
      <c r="A54"/>
      <c r="B54" s="77"/>
      <c r="C54" s="90" t="s">
        <v>6</v>
      </c>
      <c r="D54" s="78"/>
      <c r="E54" s="79"/>
      <c r="F54" s="79"/>
      <c r="G54" s="67">
        <v>3000</v>
      </c>
      <c r="H54" s="15"/>
      <c r="I54" s="17"/>
      <c r="J54" s="17"/>
      <c r="K54" s="17"/>
      <c r="L54" s="17"/>
    </row>
    <row r="55" spans="2:12" ht="15.75">
      <c r="B55" s="95"/>
      <c r="C55" s="96" t="s">
        <v>48</v>
      </c>
      <c r="D55" s="97"/>
      <c r="E55" s="98"/>
      <c r="F55" s="98"/>
      <c r="G55" s="99">
        <f>G54+G52+G43+G30+G15+G11</f>
        <v>170394.05671782413</v>
      </c>
      <c r="H55" s="20"/>
      <c r="I55" s="16"/>
      <c r="J55" s="16"/>
      <c r="K55" s="16"/>
      <c r="L55" s="16"/>
    </row>
    <row r="56" spans="2:12" ht="15.75">
      <c r="B56" s="95"/>
      <c r="C56" s="25" t="s">
        <v>7</v>
      </c>
      <c r="D56" s="26"/>
      <c r="E56" s="32"/>
      <c r="F56" s="22"/>
      <c r="G56" s="31"/>
      <c r="H56" s="20"/>
      <c r="I56" s="16"/>
      <c r="J56" s="16"/>
      <c r="K56" s="16"/>
      <c r="L56" s="16"/>
    </row>
    <row r="57" spans="2:12" ht="25.5">
      <c r="B57" s="12">
        <v>1</v>
      </c>
      <c r="C57" s="13" t="s">
        <v>49</v>
      </c>
      <c r="D57" s="12" t="s">
        <v>9</v>
      </c>
      <c r="E57" s="22">
        <f>E17</f>
        <v>154.1</v>
      </c>
      <c r="F57" s="22">
        <v>250</v>
      </c>
      <c r="G57" s="22">
        <f>E57*F57</f>
        <v>38525</v>
      </c>
      <c r="H57" s="21"/>
      <c r="I57" s="16"/>
      <c r="J57" s="16"/>
      <c r="K57" s="16"/>
      <c r="L57" s="16"/>
    </row>
    <row r="58" spans="2:12" ht="15.75">
      <c r="B58" s="12">
        <v>2</v>
      </c>
      <c r="C58" s="13" t="s">
        <v>50</v>
      </c>
      <c r="D58" s="12" t="s">
        <v>2</v>
      </c>
      <c r="E58" s="22">
        <f>E22+E23</f>
        <v>50.4</v>
      </c>
      <c r="F58" s="22">
        <v>100</v>
      </c>
      <c r="G58" s="22">
        <f>E58*F58</f>
        <v>5040</v>
      </c>
      <c r="H58" s="21"/>
      <c r="I58" s="16"/>
      <c r="J58" s="16"/>
      <c r="K58" s="16"/>
      <c r="L58" s="16"/>
    </row>
    <row r="59" spans="2:12" ht="15.75">
      <c r="B59" s="95"/>
      <c r="C59" s="90" t="s">
        <v>8</v>
      </c>
      <c r="D59" s="100"/>
      <c r="E59" s="101"/>
      <c r="F59" s="102"/>
      <c r="G59" s="67">
        <f>SUM(G57:G58)</f>
        <v>43565</v>
      </c>
      <c r="H59" s="20"/>
      <c r="I59" s="16"/>
      <c r="J59" s="16"/>
      <c r="K59" s="16"/>
      <c r="L59" s="16"/>
    </row>
    <row r="60" spans="2:251" ht="28.5" customHeight="1">
      <c r="B60" s="104"/>
      <c r="C60" s="105" t="s">
        <v>52</v>
      </c>
      <c r="D60" s="106"/>
      <c r="E60" s="106"/>
      <c r="F60" s="106"/>
      <c r="G60" s="106"/>
      <c r="H60" s="106"/>
      <c r="I60" s="106"/>
      <c r="J60" s="106"/>
      <c r="K60" s="106"/>
      <c r="L60" s="10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</row>
    <row r="61" spans="2:9" ht="12.75" hidden="1">
      <c r="B61" s="1">
        <v>1</v>
      </c>
      <c r="C61" s="107" t="s">
        <v>53</v>
      </c>
      <c r="D61" s="108" t="s">
        <v>4</v>
      </c>
      <c r="E61" s="109">
        <f aca="true" t="shared" si="2" ref="E61:E92">SUMIF($C$1:$C$59,C61,$E$1:$E$59)</f>
        <v>5.04</v>
      </c>
      <c r="F61" s="110">
        <v>60</v>
      </c>
      <c r="G61" s="111">
        <f>E61*F61</f>
        <v>302.4</v>
      </c>
      <c r="H61" s="112"/>
      <c r="I61" s="113"/>
    </row>
    <row r="62" spans="2:9" ht="12.75" hidden="1">
      <c r="B62" s="1">
        <v>2</v>
      </c>
      <c r="C62" s="107" t="s">
        <v>54</v>
      </c>
      <c r="D62" s="114" t="s">
        <v>5</v>
      </c>
      <c r="E62" s="109">
        <f t="shared" si="2"/>
        <v>0</v>
      </c>
      <c r="F62" s="110">
        <v>28800</v>
      </c>
      <c r="G62" s="115">
        <f>F62*H62</f>
        <v>0</v>
      </c>
      <c r="H62" s="116">
        <f>E62*0.00044</f>
        <v>0</v>
      </c>
      <c r="I62" s="113"/>
    </row>
    <row r="63" spans="2:9" ht="12.75" hidden="1">
      <c r="B63" s="1">
        <v>3</v>
      </c>
      <c r="C63" s="107" t="s">
        <v>55</v>
      </c>
      <c r="D63" s="114" t="s">
        <v>5</v>
      </c>
      <c r="E63" s="109">
        <f t="shared" si="2"/>
        <v>0</v>
      </c>
      <c r="F63" s="110">
        <v>18150</v>
      </c>
      <c r="G63" s="115">
        <f>F63*H63</f>
        <v>0</v>
      </c>
      <c r="H63" s="116">
        <f>E63*0.00044</f>
        <v>0</v>
      </c>
      <c r="I63" s="113"/>
    </row>
    <row r="64" spans="2:9" ht="12.75" hidden="1">
      <c r="B64" s="1">
        <v>4</v>
      </c>
      <c r="C64" s="107" t="s">
        <v>56</v>
      </c>
      <c r="D64" s="114" t="s">
        <v>5</v>
      </c>
      <c r="E64" s="109">
        <f t="shared" si="2"/>
        <v>0</v>
      </c>
      <c r="F64" s="110">
        <v>20250</v>
      </c>
      <c r="G64" s="111">
        <f>F64*H64</f>
        <v>0</v>
      </c>
      <c r="H64" s="116">
        <f>E64*0.00062</f>
        <v>0</v>
      </c>
      <c r="I64" s="113"/>
    </row>
    <row r="65" spans="2:8" ht="12.75" hidden="1">
      <c r="B65" s="1">
        <v>5</v>
      </c>
      <c r="C65" s="107" t="s">
        <v>57</v>
      </c>
      <c r="D65" s="114" t="s">
        <v>5</v>
      </c>
      <c r="E65" s="109">
        <f t="shared" si="2"/>
        <v>0</v>
      </c>
      <c r="F65" s="110">
        <v>18230</v>
      </c>
      <c r="G65" s="111">
        <f>H65*F65</f>
        <v>0</v>
      </c>
      <c r="H65" s="116">
        <f>E65*0.00062</f>
        <v>0</v>
      </c>
    </row>
    <row r="66" spans="2:10" ht="12.75" hidden="1">
      <c r="B66" s="1">
        <v>6</v>
      </c>
      <c r="C66" s="107" t="s">
        <v>58</v>
      </c>
      <c r="D66" s="114" t="s">
        <v>5</v>
      </c>
      <c r="E66" s="109">
        <f t="shared" si="2"/>
        <v>0</v>
      </c>
      <c r="F66" s="110">
        <v>17870</v>
      </c>
      <c r="G66" s="111">
        <f>H66*F66</f>
        <v>0</v>
      </c>
      <c r="H66" s="116">
        <f>E66*0.00089</f>
        <v>0</v>
      </c>
      <c r="I66" s="117"/>
      <c r="J66" s="118"/>
    </row>
    <row r="67" spans="2:9" ht="12.75" hidden="1">
      <c r="B67" s="1">
        <v>7</v>
      </c>
      <c r="C67" s="107" t="s">
        <v>59</v>
      </c>
      <c r="D67" s="114" t="s">
        <v>5</v>
      </c>
      <c r="E67" s="109">
        <f t="shared" si="2"/>
        <v>0</v>
      </c>
      <c r="F67" s="110">
        <v>19850</v>
      </c>
      <c r="G67" s="111">
        <f>F67*H67</f>
        <v>0</v>
      </c>
      <c r="H67" s="116">
        <f>E67*0.00122</f>
        <v>0</v>
      </c>
      <c r="I67" s="113"/>
    </row>
    <row r="68" spans="2:9" ht="12.75" hidden="1">
      <c r="B68" s="1">
        <v>8</v>
      </c>
      <c r="C68" s="107" t="s">
        <v>60</v>
      </c>
      <c r="D68" s="114" t="s">
        <v>5</v>
      </c>
      <c r="E68" s="109">
        <f t="shared" si="2"/>
        <v>0</v>
      </c>
      <c r="F68" s="110">
        <v>19850</v>
      </c>
      <c r="G68" s="111">
        <f>H68*F68</f>
        <v>0</v>
      </c>
      <c r="H68" s="116">
        <f>E68*0.0016</f>
        <v>0</v>
      </c>
      <c r="I68" s="113"/>
    </row>
    <row r="69" spans="2:9" ht="12.75" hidden="1">
      <c r="B69" s="1">
        <v>9</v>
      </c>
      <c r="C69" s="107" t="s">
        <v>61</v>
      </c>
      <c r="D69" s="114" t="s">
        <v>5</v>
      </c>
      <c r="E69" s="109">
        <f t="shared" si="2"/>
        <v>0</v>
      </c>
      <c r="F69" s="110">
        <v>19850</v>
      </c>
      <c r="G69" s="111">
        <f>H69*F69</f>
        <v>0</v>
      </c>
      <c r="H69" s="116">
        <f>E69*0.002</f>
        <v>0</v>
      </c>
      <c r="I69" s="113"/>
    </row>
    <row r="70" spans="2:9" ht="12.75" hidden="1">
      <c r="B70" s="1">
        <v>10</v>
      </c>
      <c r="C70" s="107" t="s">
        <v>62</v>
      </c>
      <c r="D70" s="114" t="s">
        <v>5</v>
      </c>
      <c r="E70" s="109">
        <f t="shared" si="2"/>
        <v>0</v>
      </c>
      <c r="F70" s="110">
        <v>19850</v>
      </c>
      <c r="G70" s="111">
        <f>H70*F70</f>
        <v>0</v>
      </c>
      <c r="H70" s="116">
        <f>E70*0.00247</f>
        <v>0</v>
      </c>
      <c r="I70" s="113"/>
    </row>
    <row r="71" spans="2:9" ht="12.75" hidden="1">
      <c r="B71" s="1">
        <v>11</v>
      </c>
      <c r="C71" s="107" t="s">
        <v>63</v>
      </c>
      <c r="D71" s="114" t="s">
        <v>5</v>
      </c>
      <c r="E71" s="109">
        <f t="shared" si="2"/>
        <v>0</v>
      </c>
      <c r="F71" s="110">
        <v>19990</v>
      </c>
      <c r="G71" s="111">
        <f>H71*F71</f>
        <v>0</v>
      </c>
      <c r="H71" s="116">
        <f>E71*0.00298</f>
        <v>0</v>
      </c>
      <c r="I71" s="113"/>
    </row>
    <row r="72" spans="2:9" ht="12.75" hidden="1">
      <c r="B72" s="1">
        <v>12</v>
      </c>
      <c r="C72" s="107" t="s">
        <v>64</v>
      </c>
      <c r="D72" s="114" t="s">
        <v>5</v>
      </c>
      <c r="E72" s="109">
        <f t="shared" si="2"/>
        <v>0</v>
      </c>
      <c r="F72" s="110">
        <v>19990</v>
      </c>
      <c r="G72" s="111">
        <f>H72*F72</f>
        <v>0</v>
      </c>
      <c r="H72" s="116">
        <f>E72*0.00385</f>
        <v>0</v>
      </c>
      <c r="I72" s="113"/>
    </row>
    <row r="73" spans="2:9" ht="12.75" hidden="1">
      <c r="B73" s="1">
        <v>13</v>
      </c>
      <c r="C73" s="107" t="s">
        <v>65</v>
      </c>
      <c r="D73" s="114" t="s">
        <v>5</v>
      </c>
      <c r="E73" s="109">
        <f t="shared" si="2"/>
        <v>0</v>
      </c>
      <c r="F73" s="110">
        <v>19850</v>
      </c>
      <c r="G73" s="111">
        <f>F73*H73</f>
        <v>0</v>
      </c>
      <c r="H73" s="116">
        <f>E73*0.00483</f>
        <v>0</v>
      </c>
      <c r="I73" s="113"/>
    </row>
    <row r="74" spans="2:9" ht="12.75" hidden="1">
      <c r="B74" s="1">
        <v>14</v>
      </c>
      <c r="C74" s="119" t="s">
        <v>66</v>
      </c>
      <c r="D74" s="120" t="s">
        <v>3</v>
      </c>
      <c r="E74" s="109">
        <f t="shared" si="2"/>
        <v>0</v>
      </c>
      <c r="F74" s="110">
        <v>205.74</v>
      </c>
      <c r="G74" s="111">
        <f>E74*F74</f>
        <v>0</v>
      </c>
      <c r="H74" s="112"/>
      <c r="I74" s="113"/>
    </row>
    <row r="75" spans="2:9" ht="12.75" hidden="1">
      <c r="B75" s="1">
        <v>15</v>
      </c>
      <c r="C75" s="119" t="s">
        <v>67</v>
      </c>
      <c r="D75" s="121" t="s">
        <v>3</v>
      </c>
      <c r="E75" s="109">
        <f t="shared" si="2"/>
        <v>0</v>
      </c>
      <c r="F75" s="110">
        <v>160</v>
      </c>
      <c r="G75" s="111">
        <f>E75*F75</f>
        <v>0</v>
      </c>
      <c r="H75" s="112"/>
      <c r="I75" s="113"/>
    </row>
    <row r="76" spans="2:9" ht="12.75" hidden="1">
      <c r="B76" s="1">
        <v>16</v>
      </c>
      <c r="C76" s="107" t="s">
        <v>68</v>
      </c>
      <c r="D76" s="122" t="s">
        <v>1</v>
      </c>
      <c r="E76" s="109">
        <f t="shared" si="2"/>
        <v>0</v>
      </c>
      <c r="F76" s="110">
        <v>2044</v>
      </c>
      <c r="G76" s="111">
        <f>E76*F76</f>
        <v>0</v>
      </c>
      <c r="H76" s="112"/>
      <c r="I76" s="113"/>
    </row>
    <row r="77" spans="2:9" ht="12.75" hidden="1">
      <c r="B77" s="1">
        <v>17</v>
      </c>
      <c r="C77" s="107" t="s">
        <v>69</v>
      </c>
      <c r="D77" s="114" t="s">
        <v>1</v>
      </c>
      <c r="E77" s="109">
        <f t="shared" si="2"/>
        <v>0</v>
      </c>
      <c r="F77" s="110">
        <v>2312</v>
      </c>
      <c r="G77" s="111">
        <f>E77*F77</f>
        <v>0</v>
      </c>
      <c r="H77" s="112"/>
      <c r="I77" s="113"/>
    </row>
    <row r="78" spans="2:9" ht="12.75" hidden="1">
      <c r="B78" s="1">
        <v>18</v>
      </c>
      <c r="C78" s="107" t="s">
        <v>70</v>
      </c>
      <c r="D78" s="121" t="s">
        <v>33</v>
      </c>
      <c r="E78" s="109">
        <f t="shared" si="2"/>
        <v>0</v>
      </c>
      <c r="F78" s="110">
        <v>878</v>
      </c>
      <c r="G78" s="111">
        <f>E78*F78</f>
        <v>0</v>
      </c>
      <c r="H78" s="112"/>
      <c r="I78" s="113"/>
    </row>
    <row r="79" spans="2:9" ht="12.75" hidden="1">
      <c r="B79" s="1">
        <v>19</v>
      </c>
      <c r="C79" s="107" t="s">
        <v>373</v>
      </c>
      <c r="D79" s="123" t="s">
        <v>3</v>
      </c>
      <c r="E79" s="109">
        <f t="shared" si="2"/>
        <v>7</v>
      </c>
      <c r="F79" s="110">
        <v>4000</v>
      </c>
      <c r="G79" s="111">
        <f>I79*F79</f>
        <v>313.6</v>
      </c>
      <c r="H79" s="124" t="s">
        <v>1</v>
      </c>
      <c r="I79" s="125">
        <f>E79*0.07*0.04*4</f>
        <v>0.07840000000000001</v>
      </c>
    </row>
    <row r="80" spans="2:9" ht="12.75" hidden="1">
      <c r="B80" s="1">
        <v>20</v>
      </c>
      <c r="C80" s="107" t="s">
        <v>71</v>
      </c>
      <c r="D80" s="123" t="s">
        <v>3</v>
      </c>
      <c r="E80" s="109">
        <f t="shared" si="2"/>
        <v>8.9</v>
      </c>
      <c r="F80" s="110">
        <v>3650</v>
      </c>
      <c r="G80" s="111">
        <f aca="true" t="shared" si="3" ref="G80:G87">I80*F80</f>
        <v>324.8500000000001</v>
      </c>
      <c r="H80" s="124" t="s">
        <v>1</v>
      </c>
      <c r="I80" s="125">
        <f>E80*0.05*0.05*4</f>
        <v>0.08900000000000002</v>
      </c>
    </row>
    <row r="81" spans="2:9" ht="12.75" hidden="1">
      <c r="B81" s="1">
        <v>21</v>
      </c>
      <c r="C81" s="107" t="s">
        <v>72</v>
      </c>
      <c r="D81" s="123" t="s">
        <v>3</v>
      </c>
      <c r="E81" s="109">
        <f t="shared" si="2"/>
        <v>0</v>
      </c>
      <c r="F81" s="110">
        <v>3650</v>
      </c>
      <c r="G81" s="111">
        <f t="shared" si="3"/>
        <v>0</v>
      </c>
      <c r="H81" s="124" t="s">
        <v>1</v>
      </c>
      <c r="I81" s="126">
        <f>E81*0.05*0.1*4</f>
        <v>0</v>
      </c>
    </row>
    <row r="82" spans="2:9" ht="12.75" hidden="1">
      <c r="B82" s="1">
        <v>22</v>
      </c>
      <c r="C82" s="107" t="s">
        <v>73</v>
      </c>
      <c r="D82" s="123" t="s">
        <v>3</v>
      </c>
      <c r="E82" s="109">
        <f t="shared" si="2"/>
        <v>0</v>
      </c>
      <c r="F82" s="110">
        <v>3650</v>
      </c>
      <c r="G82" s="111">
        <f t="shared" si="3"/>
        <v>0</v>
      </c>
      <c r="H82" s="124" t="s">
        <v>1</v>
      </c>
      <c r="I82" s="126">
        <f>E82*0.05*0.1*4.5</f>
        <v>0</v>
      </c>
    </row>
    <row r="83" spans="2:9" ht="12.75" hidden="1">
      <c r="B83" s="1">
        <v>23</v>
      </c>
      <c r="C83" s="107" t="s">
        <v>74</v>
      </c>
      <c r="D83" s="123" t="s">
        <v>3</v>
      </c>
      <c r="E83" s="109">
        <f t="shared" si="2"/>
        <v>0</v>
      </c>
      <c r="F83" s="110">
        <v>4000</v>
      </c>
      <c r="G83" s="111">
        <f t="shared" si="3"/>
        <v>0</v>
      </c>
      <c r="H83" s="124" t="s">
        <v>1</v>
      </c>
      <c r="I83" s="126">
        <f>E83*0.05*0.1*6</f>
        <v>0</v>
      </c>
    </row>
    <row r="84" spans="2:9" ht="12.75" hidden="1">
      <c r="B84" s="1">
        <v>24</v>
      </c>
      <c r="C84" s="107" t="s">
        <v>75</v>
      </c>
      <c r="D84" s="123" t="s">
        <v>3</v>
      </c>
      <c r="E84" s="109">
        <f t="shared" si="2"/>
        <v>0</v>
      </c>
      <c r="F84" s="110">
        <v>3650</v>
      </c>
      <c r="G84" s="111">
        <f t="shared" si="3"/>
        <v>0</v>
      </c>
      <c r="H84" s="124" t="s">
        <v>1</v>
      </c>
      <c r="I84" s="126">
        <f>E84*0.05*0.15*4</f>
        <v>0</v>
      </c>
    </row>
    <row r="85" spans="2:9" ht="12.75" hidden="1">
      <c r="B85" s="1">
        <v>25</v>
      </c>
      <c r="C85" s="107" t="s">
        <v>76</v>
      </c>
      <c r="D85" s="123" t="s">
        <v>3</v>
      </c>
      <c r="E85" s="109">
        <f t="shared" si="2"/>
        <v>0</v>
      </c>
      <c r="F85" s="110">
        <v>3650</v>
      </c>
      <c r="G85" s="111">
        <f t="shared" si="3"/>
        <v>0</v>
      </c>
      <c r="H85" s="124" t="s">
        <v>1</v>
      </c>
      <c r="I85" s="126">
        <f>E85*0.05*0.15*4.5</f>
        <v>0</v>
      </c>
    </row>
    <row r="86" spans="2:9" ht="12.75" hidden="1">
      <c r="B86" s="1">
        <v>26</v>
      </c>
      <c r="C86" s="107" t="s">
        <v>77</v>
      </c>
      <c r="D86" s="123" t="s">
        <v>3</v>
      </c>
      <c r="E86" s="109">
        <f t="shared" si="2"/>
        <v>42</v>
      </c>
      <c r="F86" s="110">
        <v>4000</v>
      </c>
      <c r="G86" s="111">
        <f t="shared" si="3"/>
        <v>7560.000000000001</v>
      </c>
      <c r="H86" s="124" t="s">
        <v>1</v>
      </c>
      <c r="I86" s="126">
        <f>E86*0.05*0.15*6</f>
        <v>1.8900000000000001</v>
      </c>
    </row>
    <row r="87" spans="2:9" ht="12.75" hidden="1">
      <c r="B87" s="1">
        <v>27</v>
      </c>
      <c r="C87" s="107" t="s">
        <v>78</v>
      </c>
      <c r="D87" s="123" t="s">
        <v>3</v>
      </c>
      <c r="E87" s="109">
        <f t="shared" si="2"/>
        <v>0</v>
      </c>
      <c r="F87" s="110">
        <v>3650</v>
      </c>
      <c r="G87" s="111">
        <f t="shared" si="3"/>
        <v>0</v>
      </c>
      <c r="H87" s="124" t="s">
        <v>1</v>
      </c>
      <c r="I87" s="126">
        <f>E87*0.05*0.2*4</f>
        <v>0</v>
      </c>
    </row>
    <row r="88" spans="2:9" ht="12.75" hidden="1">
      <c r="B88" s="1">
        <v>28</v>
      </c>
      <c r="C88" s="107" t="s">
        <v>79</v>
      </c>
      <c r="D88" s="123" t="s">
        <v>3</v>
      </c>
      <c r="E88" s="109">
        <f t="shared" si="2"/>
        <v>0</v>
      </c>
      <c r="F88" s="110">
        <v>3650</v>
      </c>
      <c r="G88" s="111">
        <f>F88*I88</f>
        <v>0</v>
      </c>
      <c r="H88" s="124" t="s">
        <v>1</v>
      </c>
      <c r="I88" s="126">
        <f>E88*0.05*0.2*6</f>
        <v>0</v>
      </c>
    </row>
    <row r="89" spans="2:9" ht="12.75" hidden="1">
      <c r="B89" s="1">
        <v>29</v>
      </c>
      <c r="C89" s="107" t="s">
        <v>80</v>
      </c>
      <c r="D89" s="123" t="s">
        <v>3</v>
      </c>
      <c r="E89" s="109">
        <f t="shared" si="2"/>
        <v>0</v>
      </c>
      <c r="F89" s="110">
        <v>4000</v>
      </c>
      <c r="G89" s="111">
        <f>F89*I89</f>
        <v>0</v>
      </c>
      <c r="H89" s="124" t="s">
        <v>1</v>
      </c>
      <c r="I89" s="126">
        <f>E89*0.05*0.2*6</f>
        <v>0</v>
      </c>
    </row>
    <row r="90" spans="2:9" ht="12.75" hidden="1">
      <c r="B90" s="1">
        <v>30</v>
      </c>
      <c r="C90" s="107" t="s">
        <v>81</v>
      </c>
      <c r="D90" s="123" t="s">
        <v>3</v>
      </c>
      <c r="E90" s="109">
        <f t="shared" si="2"/>
        <v>10.5</v>
      </c>
      <c r="F90" s="110">
        <v>3650</v>
      </c>
      <c r="G90" s="111">
        <f aca="true" t="shared" si="4" ref="G90:G97">I90*F90</f>
        <v>1533.0000000000002</v>
      </c>
      <c r="H90" s="124" t="s">
        <v>1</v>
      </c>
      <c r="I90" s="126">
        <f>E90*0.1*0.1*4</f>
        <v>0.42000000000000004</v>
      </c>
    </row>
    <row r="91" spans="2:9" ht="12.75" hidden="1">
      <c r="B91" s="1">
        <v>31</v>
      </c>
      <c r="C91" s="107" t="s">
        <v>82</v>
      </c>
      <c r="D91" s="123" t="s">
        <v>3</v>
      </c>
      <c r="E91" s="109">
        <f t="shared" si="2"/>
        <v>0</v>
      </c>
      <c r="F91" s="110">
        <v>3650</v>
      </c>
      <c r="G91" s="111">
        <f t="shared" si="4"/>
        <v>0</v>
      </c>
      <c r="H91" s="124" t="s">
        <v>1</v>
      </c>
      <c r="I91" s="126">
        <f>E91*0.1*0.1*4.5</f>
        <v>0</v>
      </c>
    </row>
    <row r="92" spans="2:9" ht="12.75" hidden="1">
      <c r="B92" s="1">
        <v>32</v>
      </c>
      <c r="C92" s="107" t="s">
        <v>83</v>
      </c>
      <c r="D92" s="123" t="s">
        <v>3</v>
      </c>
      <c r="E92" s="109">
        <f t="shared" si="2"/>
        <v>0</v>
      </c>
      <c r="F92" s="110">
        <v>3650</v>
      </c>
      <c r="G92" s="111">
        <f t="shared" si="4"/>
        <v>0</v>
      </c>
      <c r="H92" s="124" t="s">
        <v>1</v>
      </c>
      <c r="I92" s="126">
        <f>E92*0.1*0.15*4</f>
        <v>0</v>
      </c>
    </row>
    <row r="93" spans="2:9" ht="12.75" hidden="1">
      <c r="B93" s="1">
        <v>33</v>
      </c>
      <c r="C93" s="107" t="s">
        <v>84</v>
      </c>
      <c r="D93" s="123" t="s">
        <v>3</v>
      </c>
      <c r="E93" s="109">
        <f aca="true" t="shared" si="5" ref="E93:E124">SUMIF($C$1:$C$59,C93,$E$1:$E$59)</f>
        <v>0</v>
      </c>
      <c r="F93" s="110">
        <v>3650</v>
      </c>
      <c r="G93" s="111">
        <f t="shared" si="4"/>
        <v>0</v>
      </c>
      <c r="H93" s="124" t="s">
        <v>1</v>
      </c>
      <c r="I93" s="126">
        <f>E93*0.1*0.15*4.5</f>
        <v>0</v>
      </c>
    </row>
    <row r="94" spans="2:9" ht="12.75" hidden="1">
      <c r="B94" s="1">
        <v>34</v>
      </c>
      <c r="C94" s="107" t="s">
        <v>85</v>
      </c>
      <c r="D94" s="123" t="s">
        <v>3</v>
      </c>
      <c r="E94" s="109">
        <f t="shared" si="5"/>
        <v>0</v>
      </c>
      <c r="F94" s="110">
        <v>4000</v>
      </c>
      <c r="G94" s="111">
        <f t="shared" si="4"/>
        <v>0</v>
      </c>
      <c r="H94" s="124" t="s">
        <v>1</v>
      </c>
      <c r="I94" s="126">
        <f>E94*0.1*0.15*6</f>
        <v>0</v>
      </c>
    </row>
    <row r="95" spans="2:9" ht="12.75" hidden="1">
      <c r="B95" s="1">
        <v>35</v>
      </c>
      <c r="C95" s="107" t="s">
        <v>86</v>
      </c>
      <c r="D95" s="123" t="s">
        <v>3</v>
      </c>
      <c r="E95" s="109">
        <f t="shared" si="5"/>
        <v>0</v>
      </c>
      <c r="F95" s="110">
        <v>3650</v>
      </c>
      <c r="G95" s="111">
        <f t="shared" si="4"/>
        <v>0</v>
      </c>
      <c r="H95" s="124" t="s">
        <v>1</v>
      </c>
      <c r="I95" s="126">
        <f>E95*0.1*0.2*4</f>
        <v>0</v>
      </c>
    </row>
    <row r="96" spans="2:9" ht="12.75" hidden="1">
      <c r="B96" s="1">
        <v>36</v>
      </c>
      <c r="C96" s="107" t="s">
        <v>87</v>
      </c>
      <c r="D96" s="123" t="s">
        <v>3</v>
      </c>
      <c r="E96" s="109">
        <f t="shared" si="5"/>
        <v>0</v>
      </c>
      <c r="F96" s="110">
        <v>3650</v>
      </c>
      <c r="G96" s="111">
        <f t="shared" si="4"/>
        <v>0</v>
      </c>
      <c r="H96" s="124" t="s">
        <v>1</v>
      </c>
      <c r="I96" s="126">
        <f>E96*0.1*0.2*4.5</f>
        <v>0</v>
      </c>
    </row>
    <row r="97" spans="2:9" ht="12.75" hidden="1">
      <c r="B97" s="1">
        <v>37</v>
      </c>
      <c r="C97" s="107" t="s">
        <v>88</v>
      </c>
      <c r="D97" s="123" t="s">
        <v>3</v>
      </c>
      <c r="E97" s="109">
        <f t="shared" si="5"/>
        <v>0</v>
      </c>
      <c r="F97" s="110">
        <v>4000</v>
      </c>
      <c r="G97" s="111">
        <f t="shared" si="4"/>
        <v>0</v>
      </c>
      <c r="H97" s="124" t="s">
        <v>1</v>
      </c>
      <c r="I97" s="126">
        <f>E97*0.1*0.2*6</f>
        <v>0</v>
      </c>
    </row>
    <row r="98" spans="2:9" ht="12.75" hidden="1">
      <c r="B98" s="1">
        <v>38</v>
      </c>
      <c r="C98" s="107" t="s">
        <v>89</v>
      </c>
      <c r="D98" s="123" t="s">
        <v>3</v>
      </c>
      <c r="E98" s="109">
        <f t="shared" si="5"/>
        <v>0</v>
      </c>
      <c r="F98" s="110">
        <v>3650</v>
      </c>
      <c r="G98" s="111">
        <f>F98*I98</f>
        <v>0</v>
      </c>
      <c r="H98" s="124" t="s">
        <v>1</v>
      </c>
      <c r="I98" s="126">
        <f>E98*0.15*0.15*4</f>
        <v>0</v>
      </c>
    </row>
    <row r="99" spans="2:9" ht="12.75" hidden="1">
      <c r="B99" s="1">
        <v>39</v>
      </c>
      <c r="C99" s="107" t="s">
        <v>90</v>
      </c>
      <c r="D99" s="123" t="s">
        <v>3</v>
      </c>
      <c r="E99" s="109">
        <f t="shared" si="5"/>
        <v>0</v>
      </c>
      <c r="F99" s="110">
        <v>3650</v>
      </c>
      <c r="G99" s="111">
        <f>F99*I99</f>
        <v>0</v>
      </c>
      <c r="H99" s="124" t="s">
        <v>1</v>
      </c>
      <c r="I99" s="126">
        <f>E99*0.15*0.15*4.5</f>
        <v>0</v>
      </c>
    </row>
    <row r="100" spans="2:9" ht="12.75" hidden="1">
      <c r="B100" s="1">
        <v>40</v>
      </c>
      <c r="C100" s="107" t="s">
        <v>91</v>
      </c>
      <c r="D100" s="123" t="s">
        <v>3</v>
      </c>
      <c r="E100" s="109">
        <f t="shared" si="5"/>
        <v>0</v>
      </c>
      <c r="F100" s="110">
        <v>4000</v>
      </c>
      <c r="G100" s="111">
        <f>F100*I100</f>
        <v>0</v>
      </c>
      <c r="H100" s="124" t="s">
        <v>1</v>
      </c>
      <c r="I100" s="126">
        <f>E100*0.15*0.15*6</f>
        <v>0</v>
      </c>
    </row>
    <row r="101" spans="2:9" ht="12.75" hidden="1">
      <c r="B101" s="1">
        <v>41</v>
      </c>
      <c r="C101" s="107" t="s">
        <v>92</v>
      </c>
      <c r="D101" s="123" t="s">
        <v>3</v>
      </c>
      <c r="E101" s="109">
        <f t="shared" si="5"/>
        <v>0</v>
      </c>
      <c r="F101" s="110">
        <v>3650</v>
      </c>
      <c r="G101" s="111">
        <f aca="true" t="shared" si="6" ref="G101:G109">I101*F101</f>
        <v>0</v>
      </c>
      <c r="H101" s="124" t="s">
        <v>1</v>
      </c>
      <c r="I101" s="126">
        <f>E101*0.15*0.2*4</f>
        <v>0</v>
      </c>
    </row>
    <row r="102" spans="2:9" ht="12.75" hidden="1">
      <c r="B102" s="1">
        <v>42</v>
      </c>
      <c r="C102" s="107" t="s">
        <v>93</v>
      </c>
      <c r="D102" s="123" t="s">
        <v>3</v>
      </c>
      <c r="E102" s="109">
        <f t="shared" si="5"/>
        <v>0</v>
      </c>
      <c r="F102" s="110">
        <v>3650</v>
      </c>
      <c r="G102" s="111">
        <f t="shared" si="6"/>
        <v>0</v>
      </c>
      <c r="H102" s="124" t="s">
        <v>1</v>
      </c>
      <c r="I102" s="126">
        <f>E102*0.15*0.2*4.5</f>
        <v>0</v>
      </c>
    </row>
    <row r="103" spans="2:9" ht="12.75" hidden="1">
      <c r="B103" s="1">
        <v>43</v>
      </c>
      <c r="C103" s="107" t="s">
        <v>94</v>
      </c>
      <c r="D103" s="123" t="s">
        <v>3</v>
      </c>
      <c r="E103" s="109">
        <f t="shared" si="5"/>
        <v>0</v>
      </c>
      <c r="F103" s="110">
        <v>4000</v>
      </c>
      <c r="G103" s="111">
        <f t="shared" si="6"/>
        <v>0</v>
      </c>
      <c r="H103" s="124" t="s">
        <v>1</v>
      </c>
      <c r="I103" s="126">
        <f>E103*0.15*0.2*6</f>
        <v>0</v>
      </c>
    </row>
    <row r="104" spans="2:9" ht="12.75" hidden="1">
      <c r="B104" s="1">
        <v>44</v>
      </c>
      <c r="C104" s="107" t="s">
        <v>95</v>
      </c>
      <c r="D104" s="123" t="s">
        <v>3</v>
      </c>
      <c r="E104" s="109">
        <f t="shared" si="5"/>
        <v>0</v>
      </c>
      <c r="F104" s="110">
        <v>3650</v>
      </c>
      <c r="G104" s="111">
        <f t="shared" si="6"/>
        <v>0</v>
      </c>
      <c r="H104" s="124" t="s">
        <v>1</v>
      </c>
      <c r="I104" s="126">
        <f>E104*0.2*0.2*4</f>
        <v>0</v>
      </c>
    </row>
    <row r="105" spans="2:9" ht="12.75" hidden="1">
      <c r="B105" s="1">
        <v>45</v>
      </c>
      <c r="C105" s="107" t="s">
        <v>96</v>
      </c>
      <c r="D105" s="123" t="s">
        <v>3</v>
      </c>
      <c r="E105" s="109">
        <f t="shared" si="5"/>
        <v>0</v>
      </c>
      <c r="F105" s="110">
        <v>3650</v>
      </c>
      <c r="G105" s="111">
        <f t="shared" si="6"/>
        <v>0</v>
      </c>
      <c r="H105" s="124" t="s">
        <v>1</v>
      </c>
      <c r="I105" s="126">
        <f>E105*0.2*0.2*4.5</f>
        <v>0</v>
      </c>
    </row>
    <row r="106" spans="2:9" ht="12.75" hidden="1">
      <c r="B106" s="1">
        <v>46</v>
      </c>
      <c r="C106" s="107" t="s">
        <v>97</v>
      </c>
      <c r="D106" s="123" t="s">
        <v>3</v>
      </c>
      <c r="E106" s="109">
        <f t="shared" si="5"/>
        <v>0</v>
      </c>
      <c r="F106" s="110">
        <v>4000</v>
      </c>
      <c r="G106" s="111">
        <f t="shared" si="6"/>
        <v>0</v>
      </c>
      <c r="H106" s="124" t="s">
        <v>1</v>
      </c>
      <c r="I106" s="126">
        <f>E106*0.2*0.2*6</f>
        <v>0</v>
      </c>
    </row>
    <row r="107" spans="2:9" ht="12.75" hidden="1">
      <c r="B107" s="1">
        <v>47</v>
      </c>
      <c r="C107" s="107" t="s">
        <v>98</v>
      </c>
      <c r="D107" s="123" t="s">
        <v>3</v>
      </c>
      <c r="E107" s="109">
        <f t="shared" si="5"/>
        <v>0</v>
      </c>
      <c r="F107" s="110">
        <v>3650</v>
      </c>
      <c r="G107" s="111">
        <f t="shared" si="6"/>
        <v>0</v>
      </c>
      <c r="H107" s="124" t="s">
        <v>1</v>
      </c>
      <c r="I107" s="126">
        <f>E107*0.2*0.25*4</f>
        <v>0</v>
      </c>
    </row>
    <row r="108" spans="2:9" ht="12.75" hidden="1">
      <c r="B108" s="1">
        <v>48</v>
      </c>
      <c r="C108" s="107" t="s">
        <v>99</v>
      </c>
      <c r="D108" s="123" t="s">
        <v>3</v>
      </c>
      <c r="E108" s="109">
        <f t="shared" si="5"/>
        <v>0</v>
      </c>
      <c r="F108" s="110">
        <v>3650</v>
      </c>
      <c r="G108" s="111">
        <f t="shared" si="6"/>
        <v>0</v>
      </c>
      <c r="H108" s="124" t="s">
        <v>1</v>
      </c>
      <c r="I108" s="126">
        <f>E108*0.2*0.25*4.5</f>
        <v>0</v>
      </c>
    </row>
    <row r="109" spans="2:9" ht="12.75" hidden="1">
      <c r="B109" s="1">
        <v>49</v>
      </c>
      <c r="C109" s="107" t="s">
        <v>100</v>
      </c>
      <c r="D109" s="123" t="s">
        <v>3</v>
      </c>
      <c r="E109" s="109">
        <f t="shared" si="5"/>
        <v>0</v>
      </c>
      <c r="F109" s="110">
        <v>4000</v>
      </c>
      <c r="G109" s="111">
        <f t="shared" si="6"/>
        <v>0</v>
      </c>
      <c r="H109" s="124" t="s">
        <v>1</v>
      </c>
      <c r="I109" s="126">
        <f>E109*0.2*0.25*6</f>
        <v>0</v>
      </c>
    </row>
    <row r="110" spans="2:9" ht="12.75" hidden="1">
      <c r="B110" s="1">
        <v>50</v>
      </c>
      <c r="C110" s="107" t="s">
        <v>101</v>
      </c>
      <c r="D110" s="127" t="s">
        <v>3</v>
      </c>
      <c r="E110" s="109">
        <f t="shared" si="5"/>
        <v>0</v>
      </c>
      <c r="F110" s="110">
        <v>0.6</v>
      </c>
      <c r="G110" s="111">
        <f aca="true" t="shared" si="7" ref="G110:G123">E110*F110</f>
        <v>0</v>
      </c>
      <c r="H110" s="112"/>
      <c r="I110" s="113"/>
    </row>
    <row r="111" spans="2:9" ht="12.75" hidden="1">
      <c r="B111" s="1">
        <v>51</v>
      </c>
      <c r="C111" s="107" t="s">
        <v>102</v>
      </c>
      <c r="D111" s="108" t="s">
        <v>10</v>
      </c>
      <c r="E111" s="109">
        <f t="shared" si="5"/>
        <v>0</v>
      </c>
      <c r="F111" s="110">
        <v>1.5</v>
      </c>
      <c r="G111" s="111">
        <f t="shared" si="7"/>
        <v>0</v>
      </c>
      <c r="H111" s="112"/>
      <c r="I111" s="113"/>
    </row>
    <row r="112" spans="2:9" ht="12.75" hidden="1">
      <c r="B112" s="1">
        <v>52</v>
      </c>
      <c r="C112" s="107" t="s">
        <v>103</v>
      </c>
      <c r="D112" s="108" t="s">
        <v>10</v>
      </c>
      <c r="E112" s="109">
        <f t="shared" si="5"/>
        <v>46</v>
      </c>
      <c r="F112" s="110">
        <v>2.5</v>
      </c>
      <c r="G112" s="111">
        <f t="shared" si="7"/>
        <v>115</v>
      </c>
      <c r="H112" s="112"/>
      <c r="I112" s="113"/>
    </row>
    <row r="113" spans="2:9" ht="12.75" hidden="1">
      <c r="B113" s="1">
        <v>53</v>
      </c>
      <c r="C113" s="107" t="s">
        <v>353</v>
      </c>
      <c r="D113" s="120" t="s">
        <v>4</v>
      </c>
      <c r="E113" s="109">
        <f t="shared" si="5"/>
        <v>12.20472</v>
      </c>
      <c r="F113" s="110">
        <v>22</v>
      </c>
      <c r="G113" s="111">
        <f t="shared" si="7"/>
        <v>268.50384</v>
      </c>
      <c r="H113" s="112"/>
      <c r="I113" s="113"/>
    </row>
    <row r="114" spans="2:9" ht="12.75" hidden="1">
      <c r="B114" s="1">
        <v>54</v>
      </c>
      <c r="C114" s="128" t="s">
        <v>104</v>
      </c>
      <c r="D114" s="127" t="s">
        <v>4</v>
      </c>
      <c r="E114" s="109">
        <f t="shared" si="5"/>
        <v>0</v>
      </c>
      <c r="F114" s="110">
        <v>28</v>
      </c>
      <c r="G114" s="111">
        <f t="shared" si="7"/>
        <v>0</v>
      </c>
      <c r="H114" s="112"/>
      <c r="I114" s="113"/>
    </row>
    <row r="115" spans="2:9" ht="12.75" hidden="1">
      <c r="B115" s="1">
        <v>55</v>
      </c>
      <c r="C115" s="107" t="s">
        <v>105</v>
      </c>
      <c r="D115" s="108" t="s">
        <v>4</v>
      </c>
      <c r="E115" s="109">
        <f t="shared" si="5"/>
        <v>7</v>
      </c>
      <c r="F115" s="110">
        <v>33</v>
      </c>
      <c r="G115" s="111">
        <f t="shared" si="7"/>
        <v>231</v>
      </c>
      <c r="H115" s="112"/>
      <c r="I115" s="113"/>
    </row>
    <row r="116" spans="2:9" ht="12.75" hidden="1">
      <c r="B116" s="1">
        <v>56</v>
      </c>
      <c r="C116" s="107" t="s">
        <v>106</v>
      </c>
      <c r="D116" s="123" t="s">
        <v>4</v>
      </c>
      <c r="E116" s="109">
        <f t="shared" si="5"/>
        <v>7</v>
      </c>
      <c r="F116" s="110">
        <v>31</v>
      </c>
      <c r="G116" s="111">
        <f t="shared" si="7"/>
        <v>217</v>
      </c>
      <c r="H116" s="112"/>
      <c r="I116" s="113"/>
    </row>
    <row r="117" spans="2:9" ht="12.75" hidden="1">
      <c r="B117" s="1">
        <v>57</v>
      </c>
      <c r="C117" s="107" t="s">
        <v>107</v>
      </c>
      <c r="D117" s="123" t="s">
        <v>4</v>
      </c>
      <c r="E117" s="109">
        <f t="shared" si="5"/>
        <v>0</v>
      </c>
      <c r="F117" s="110">
        <v>25</v>
      </c>
      <c r="G117" s="111">
        <f t="shared" si="7"/>
        <v>0</v>
      </c>
      <c r="H117" s="112"/>
      <c r="I117" s="113"/>
    </row>
    <row r="118" spans="2:9" ht="12.75" hidden="1">
      <c r="B118" s="1">
        <v>58</v>
      </c>
      <c r="C118" s="107" t="s">
        <v>108</v>
      </c>
      <c r="D118" s="120" t="s">
        <v>4</v>
      </c>
      <c r="E118" s="109">
        <f t="shared" si="5"/>
        <v>0</v>
      </c>
      <c r="F118" s="110">
        <v>48</v>
      </c>
      <c r="G118" s="111">
        <f t="shared" si="7"/>
        <v>0</v>
      </c>
      <c r="H118" s="112"/>
      <c r="I118" s="113"/>
    </row>
    <row r="119" spans="2:9" ht="12.75" hidden="1">
      <c r="B119" s="1">
        <v>59</v>
      </c>
      <c r="C119" s="107" t="s">
        <v>109</v>
      </c>
      <c r="D119" s="127" t="s">
        <v>12</v>
      </c>
      <c r="E119" s="109">
        <f t="shared" si="5"/>
        <v>0</v>
      </c>
      <c r="F119" s="110">
        <v>23</v>
      </c>
      <c r="G119" s="111">
        <f t="shared" si="7"/>
        <v>0</v>
      </c>
      <c r="H119" s="112"/>
      <c r="I119" s="113"/>
    </row>
    <row r="120" spans="2:9" ht="12.75" hidden="1">
      <c r="B120" s="1">
        <v>60</v>
      </c>
      <c r="C120" s="107" t="s">
        <v>110</v>
      </c>
      <c r="D120" s="120" t="s">
        <v>10</v>
      </c>
      <c r="E120" s="109">
        <f t="shared" si="5"/>
        <v>0</v>
      </c>
      <c r="F120" s="110">
        <v>57</v>
      </c>
      <c r="G120" s="111">
        <f t="shared" si="7"/>
        <v>0</v>
      </c>
      <c r="H120" s="112"/>
      <c r="I120" s="113"/>
    </row>
    <row r="121" spans="2:9" ht="12.75" hidden="1">
      <c r="B121" s="1">
        <v>61</v>
      </c>
      <c r="C121" s="107" t="s">
        <v>111</v>
      </c>
      <c r="D121" s="120" t="s">
        <v>3</v>
      </c>
      <c r="E121" s="109">
        <f t="shared" si="5"/>
        <v>0</v>
      </c>
      <c r="F121" s="110">
        <v>102</v>
      </c>
      <c r="G121" s="111">
        <f t="shared" si="7"/>
        <v>0</v>
      </c>
      <c r="H121" s="112"/>
      <c r="I121" s="113"/>
    </row>
    <row r="122" spans="2:9" ht="12.75" hidden="1">
      <c r="B122" s="1">
        <v>62</v>
      </c>
      <c r="C122" s="107" t="s">
        <v>112</v>
      </c>
      <c r="D122" s="120" t="s">
        <v>10</v>
      </c>
      <c r="E122" s="109">
        <f t="shared" si="5"/>
        <v>0</v>
      </c>
      <c r="F122" s="110">
        <v>45</v>
      </c>
      <c r="G122" s="111">
        <f t="shared" si="7"/>
        <v>0</v>
      </c>
      <c r="H122" s="112"/>
      <c r="I122" s="113"/>
    </row>
    <row r="123" spans="2:9" ht="12.75" hidden="1">
      <c r="B123" s="1">
        <v>63</v>
      </c>
      <c r="C123" s="107" t="s">
        <v>113</v>
      </c>
      <c r="D123" s="120" t="s">
        <v>3</v>
      </c>
      <c r="E123" s="109">
        <f t="shared" si="5"/>
        <v>0</v>
      </c>
      <c r="F123" s="110">
        <v>88</v>
      </c>
      <c r="G123" s="111">
        <f t="shared" si="7"/>
        <v>0</v>
      </c>
      <c r="H123" s="112"/>
      <c r="I123" s="113"/>
    </row>
    <row r="124" spans="2:9" ht="12.75" hidden="1">
      <c r="B124" s="1">
        <v>64</v>
      </c>
      <c r="C124" s="107" t="s">
        <v>114</v>
      </c>
      <c r="D124" s="123" t="s">
        <v>3</v>
      </c>
      <c r="E124" s="109">
        <f t="shared" si="5"/>
        <v>207.7</v>
      </c>
      <c r="F124" s="110">
        <v>3650</v>
      </c>
      <c r="G124" s="111">
        <f>I124*F124</f>
        <v>7581.05</v>
      </c>
      <c r="H124" s="124" t="s">
        <v>1</v>
      </c>
      <c r="I124" s="125">
        <f>E124*0.1*0.025*4</f>
        <v>2.077</v>
      </c>
    </row>
    <row r="125" spans="2:9" ht="12.75" hidden="1">
      <c r="B125" s="1">
        <v>65</v>
      </c>
      <c r="C125" s="107" t="s">
        <v>115</v>
      </c>
      <c r="D125" s="123" t="s">
        <v>3</v>
      </c>
      <c r="E125" s="109">
        <f aca="true" t="shared" si="8" ref="E125:E156">SUMIF($C$1:$C$59,C125,$E$1:$E$59)</f>
        <v>0</v>
      </c>
      <c r="F125" s="110">
        <v>3650</v>
      </c>
      <c r="G125" s="111">
        <f>I125*F125</f>
        <v>0</v>
      </c>
      <c r="H125" s="124" t="s">
        <v>1</v>
      </c>
      <c r="I125" s="125">
        <f>E125*0.2*0.025*4</f>
        <v>0</v>
      </c>
    </row>
    <row r="126" spans="2:9" ht="12.75" hidden="1">
      <c r="B126" s="1">
        <v>66</v>
      </c>
      <c r="C126" s="107" t="s">
        <v>116</v>
      </c>
      <c r="D126" s="120" t="s">
        <v>9</v>
      </c>
      <c r="E126" s="109">
        <f t="shared" si="8"/>
        <v>184.92</v>
      </c>
      <c r="F126" s="110">
        <v>9.88</v>
      </c>
      <c r="G126" s="111">
        <f aca="true" t="shared" si="9" ref="G126:G146">E126*F126</f>
        <v>1827.0096</v>
      </c>
      <c r="H126" s="112"/>
      <c r="I126" s="113"/>
    </row>
    <row r="127" spans="2:9" ht="12.75" hidden="1">
      <c r="B127" s="1">
        <v>67</v>
      </c>
      <c r="C127" s="107" t="s">
        <v>117</v>
      </c>
      <c r="D127" s="120" t="s">
        <v>3</v>
      </c>
      <c r="E127" s="109">
        <f t="shared" si="8"/>
        <v>0</v>
      </c>
      <c r="F127" s="110">
        <v>242</v>
      </c>
      <c r="G127" s="111">
        <f t="shared" si="9"/>
        <v>0</v>
      </c>
      <c r="H127" s="112"/>
      <c r="I127" s="113"/>
    </row>
    <row r="128" spans="2:9" ht="12.75" hidden="1">
      <c r="B128" s="1">
        <v>68</v>
      </c>
      <c r="C128" s="107" t="s">
        <v>118</v>
      </c>
      <c r="D128" s="120" t="s">
        <v>3</v>
      </c>
      <c r="E128" s="109">
        <f t="shared" si="8"/>
        <v>0</v>
      </c>
      <c r="F128" s="110">
        <v>290</v>
      </c>
      <c r="G128" s="115">
        <f t="shared" si="9"/>
        <v>0</v>
      </c>
      <c r="H128" s="112"/>
      <c r="I128" s="113"/>
    </row>
    <row r="129" spans="2:9" ht="12.75" hidden="1">
      <c r="B129" s="1">
        <v>69</v>
      </c>
      <c r="C129" s="107" t="s">
        <v>119</v>
      </c>
      <c r="D129" s="120" t="s">
        <v>3</v>
      </c>
      <c r="E129" s="109">
        <f t="shared" si="8"/>
        <v>0</v>
      </c>
      <c r="F129" s="110">
        <v>290</v>
      </c>
      <c r="G129" s="115">
        <f t="shared" si="9"/>
        <v>0</v>
      </c>
      <c r="H129" s="112"/>
      <c r="I129" s="113"/>
    </row>
    <row r="130" spans="2:9" ht="12.75" hidden="1">
      <c r="B130" s="1">
        <v>70</v>
      </c>
      <c r="C130" s="107" t="s">
        <v>120</v>
      </c>
      <c r="D130" s="129" t="s">
        <v>121</v>
      </c>
      <c r="E130" s="109">
        <f t="shared" si="8"/>
        <v>0</v>
      </c>
      <c r="F130" s="110">
        <v>14.2</v>
      </c>
      <c r="G130" s="115">
        <f t="shared" si="9"/>
        <v>0</v>
      </c>
      <c r="H130" s="112"/>
      <c r="I130" s="113"/>
    </row>
    <row r="131" spans="2:9" ht="12.75" hidden="1">
      <c r="B131" s="1">
        <v>71</v>
      </c>
      <c r="C131" s="107" t="s">
        <v>122</v>
      </c>
      <c r="D131" s="120" t="s">
        <v>3</v>
      </c>
      <c r="E131" s="109">
        <f t="shared" si="8"/>
        <v>0</v>
      </c>
      <c r="F131" s="110">
        <v>68</v>
      </c>
      <c r="G131" s="115">
        <f t="shared" si="9"/>
        <v>0</v>
      </c>
      <c r="H131" s="112"/>
      <c r="I131" s="113"/>
    </row>
    <row r="132" spans="2:9" ht="12.75" hidden="1">
      <c r="B132" s="1">
        <v>72</v>
      </c>
      <c r="C132" s="107" t="s">
        <v>123</v>
      </c>
      <c r="D132" s="120" t="s">
        <v>3</v>
      </c>
      <c r="E132" s="109">
        <f t="shared" si="8"/>
        <v>0</v>
      </c>
      <c r="F132" s="110">
        <v>68</v>
      </c>
      <c r="G132" s="115">
        <f t="shared" si="9"/>
        <v>0</v>
      </c>
      <c r="H132" s="112"/>
      <c r="I132" s="113"/>
    </row>
    <row r="133" spans="2:9" ht="12.75" hidden="1">
      <c r="B133" s="1">
        <v>73</v>
      </c>
      <c r="C133" s="107" t="s">
        <v>124</v>
      </c>
      <c r="D133" s="120" t="s">
        <v>3</v>
      </c>
      <c r="E133" s="109">
        <f t="shared" si="8"/>
        <v>0</v>
      </c>
      <c r="F133" s="110">
        <v>52</v>
      </c>
      <c r="G133" s="115">
        <f t="shared" si="9"/>
        <v>0</v>
      </c>
      <c r="H133" s="112"/>
      <c r="I133" s="113"/>
    </row>
    <row r="134" spans="2:9" ht="12.75" hidden="1">
      <c r="B134" s="1">
        <v>74</v>
      </c>
      <c r="C134" s="107" t="s">
        <v>125</v>
      </c>
      <c r="D134" s="120" t="s">
        <v>3</v>
      </c>
      <c r="E134" s="109">
        <f t="shared" si="8"/>
        <v>0</v>
      </c>
      <c r="F134" s="110">
        <v>52</v>
      </c>
      <c r="G134" s="115">
        <f t="shared" si="9"/>
        <v>0</v>
      </c>
      <c r="H134" s="112"/>
      <c r="I134" s="113"/>
    </row>
    <row r="135" spans="2:9" ht="12.75" hidden="1">
      <c r="B135" s="1">
        <v>75</v>
      </c>
      <c r="C135" s="107" t="s">
        <v>126</v>
      </c>
      <c r="D135" s="120" t="s">
        <v>32</v>
      </c>
      <c r="E135" s="109">
        <f t="shared" si="8"/>
        <v>0</v>
      </c>
      <c r="F135" s="110">
        <v>35</v>
      </c>
      <c r="G135" s="115">
        <f t="shared" si="9"/>
        <v>0</v>
      </c>
      <c r="H135" s="112"/>
      <c r="I135" s="113"/>
    </row>
    <row r="136" spans="2:9" ht="12.75" hidden="1">
      <c r="B136" s="1">
        <v>76</v>
      </c>
      <c r="C136" s="107" t="s">
        <v>127</v>
      </c>
      <c r="D136" s="130" t="s">
        <v>3</v>
      </c>
      <c r="E136" s="109">
        <f t="shared" si="8"/>
        <v>0</v>
      </c>
      <c r="F136" s="110">
        <v>5</v>
      </c>
      <c r="G136" s="115">
        <f t="shared" si="9"/>
        <v>0</v>
      </c>
      <c r="H136" s="112"/>
      <c r="I136" s="113"/>
    </row>
    <row r="137" spans="2:9" ht="12.75" hidden="1">
      <c r="B137" s="1">
        <v>77</v>
      </c>
      <c r="C137" s="107" t="s">
        <v>128</v>
      </c>
      <c r="D137" s="130" t="s">
        <v>3</v>
      </c>
      <c r="E137" s="109">
        <f t="shared" si="8"/>
        <v>0</v>
      </c>
      <c r="F137" s="110">
        <v>2.5</v>
      </c>
      <c r="G137" s="115">
        <f t="shared" si="9"/>
        <v>0</v>
      </c>
      <c r="H137" s="112"/>
      <c r="I137" s="113"/>
    </row>
    <row r="138" spans="2:9" ht="12.75" hidden="1">
      <c r="B138" s="1">
        <v>78</v>
      </c>
      <c r="C138" s="107" t="s">
        <v>129</v>
      </c>
      <c r="D138" s="120" t="s">
        <v>10</v>
      </c>
      <c r="E138" s="109">
        <f t="shared" si="8"/>
        <v>0</v>
      </c>
      <c r="F138" s="110">
        <v>105</v>
      </c>
      <c r="G138" s="115">
        <f t="shared" si="9"/>
        <v>0</v>
      </c>
      <c r="H138" s="112"/>
      <c r="I138" s="113"/>
    </row>
    <row r="139" spans="2:9" ht="12.75" hidden="1">
      <c r="B139" s="1">
        <v>79</v>
      </c>
      <c r="C139" s="107" t="s">
        <v>130</v>
      </c>
      <c r="D139" s="120" t="s">
        <v>10</v>
      </c>
      <c r="E139" s="109">
        <f t="shared" si="8"/>
        <v>0</v>
      </c>
      <c r="F139" s="110">
        <v>82</v>
      </c>
      <c r="G139" s="115">
        <f t="shared" si="9"/>
        <v>0</v>
      </c>
      <c r="H139" s="112"/>
      <c r="I139" s="113"/>
    </row>
    <row r="140" spans="2:9" ht="12.75" hidden="1">
      <c r="B140" s="1">
        <v>80</v>
      </c>
      <c r="C140" s="107" t="s">
        <v>131</v>
      </c>
      <c r="D140" s="120" t="s">
        <v>32</v>
      </c>
      <c r="E140" s="109">
        <f t="shared" si="8"/>
        <v>0</v>
      </c>
      <c r="F140" s="110">
        <v>5.5</v>
      </c>
      <c r="G140" s="115">
        <f t="shared" si="9"/>
        <v>0</v>
      </c>
      <c r="H140" s="112"/>
      <c r="I140" s="113"/>
    </row>
    <row r="141" spans="2:9" ht="12.75" hidden="1">
      <c r="B141" s="1">
        <v>81</v>
      </c>
      <c r="C141" s="107" t="s">
        <v>132</v>
      </c>
      <c r="D141" s="120" t="s">
        <v>10</v>
      </c>
      <c r="E141" s="109">
        <f t="shared" si="8"/>
        <v>0</v>
      </c>
      <c r="F141" s="110">
        <v>212</v>
      </c>
      <c r="G141" s="115">
        <f t="shared" si="9"/>
        <v>0</v>
      </c>
      <c r="H141" s="112"/>
      <c r="I141" s="113"/>
    </row>
    <row r="142" spans="2:9" ht="12.75" hidden="1">
      <c r="B142" s="1">
        <v>82</v>
      </c>
      <c r="C142" s="107" t="s">
        <v>133</v>
      </c>
      <c r="D142" s="120" t="s">
        <v>10</v>
      </c>
      <c r="E142" s="109">
        <f t="shared" si="8"/>
        <v>0</v>
      </c>
      <c r="F142" s="110">
        <v>255</v>
      </c>
      <c r="G142" s="115">
        <f t="shared" si="9"/>
        <v>0</v>
      </c>
      <c r="H142" s="112"/>
      <c r="I142" s="113"/>
    </row>
    <row r="143" spans="2:9" ht="12.75" hidden="1">
      <c r="B143" s="1">
        <v>83</v>
      </c>
      <c r="C143" s="107" t="s">
        <v>134</v>
      </c>
      <c r="D143" s="120" t="s">
        <v>10</v>
      </c>
      <c r="E143" s="109">
        <f t="shared" si="8"/>
        <v>0</v>
      </c>
      <c r="F143" s="110">
        <v>255</v>
      </c>
      <c r="G143" s="115">
        <f t="shared" si="9"/>
        <v>0</v>
      </c>
      <c r="H143" s="112"/>
      <c r="I143" s="113"/>
    </row>
    <row r="144" spans="2:9" ht="12.75" hidden="1">
      <c r="B144" s="1">
        <v>84</v>
      </c>
      <c r="C144" s="107" t="s">
        <v>135</v>
      </c>
      <c r="D144" s="120" t="s">
        <v>10</v>
      </c>
      <c r="E144" s="109">
        <f t="shared" si="8"/>
        <v>0</v>
      </c>
      <c r="F144" s="110">
        <v>165</v>
      </c>
      <c r="G144" s="115">
        <f t="shared" si="9"/>
        <v>0</v>
      </c>
      <c r="H144" s="112"/>
      <c r="I144" s="113"/>
    </row>
    <row r="145" spans="2:9" ht="12.75" hidden="1">
      <c r="B145" s="1">
        <v>85</v>
      </c>
      <c r="C145" s="107" t="s">
        <v>136</v>
      </c>
      <c r="D145" s="120" t="s">
        <v>10</v>
      </c>
      <c r="E145" s="109">
        <f t="shared" si="8"/>
        <v>0</v>
      </c>
      <c r="F145" s="110">
        <v>198</v>
      </c>
      <c r="G145" s="115">
        <f t="shared" si="9"/>
        <v>0</v>
      </c>
      <c r="H145" s="112"/>
      <c r="I145" s="113"/>
    </row>
    <row r="146" spans="2:9" ht="12.75" hidden="1">
      <c r="B146" s="1">
        <v>86</v>
      </c>
      <c r="C146" s="107" t="s">
        <v>137</v>
      </c>
      <c r="D146" s="120" t="s">
        <v>10</v>
      </c>
      <c r="E146" s="109">
        <f t="shared" si="8"/>
        <v>0</v>
      </c>
      <c r="F146" s="110">
        <v>198</v>
      </c>
      <c r="G146" s="115">
        <f t="shared" si="9"/>
        <v>0</v>
      </c>
      <c r="H146" s="112"/>
      <c r="I146" s="113"/>
    </row>
    <row r="147" spans="2:9" ht="12.75" hidden="1">
      <c r="B147" s="1">
        <v>87</v>
      </c>
      <c r="C147" s="107" t="s">
        <v>138</v>
      </c>
      <c r="D147" s="120" t="s">
        <v>9</v>
      </c>
      <c r="E147" s="109">
        <f t="shared" si="8"/>
        <v>0</v>
      </c>
      <c r="F147" s="110">
        <v>25200</v>
      </c>
      <c r="G147" s="115">
        <f>H147*F147</f>
        <v>0</v>
      </c>
      <c r="H147" s="131">
        <f>E147*0.0785</f>
        <v>0</v>
      </c>
      <c r="I147" s="113"/>
    </row>
    <row r="148" spans="2:9" ht="12.75" hidden="1">
      <c r="B148" s="1">
        <v>88</v>
      </c>
      <c r="C148" s="107" t="s">
        <v>139</v>
      </c>
      <c r="D148" s="120" t="s">
        <v>9</v>
      </c>
      <c r="E148" s="109">
        <f t="shared" si="8"/>
        <v>0</v>
      </c>
      <c r="F148" s="110">
        <v>341</v>
      </c>
      <c r="G148" s="115">
        <f aca="true" t="shared" si="10" ref="G148:G183">E148*F148</f>
        <v>0</v>
      </c>
      <c r="H148" s="112"/>
      <c r="I148" s="113"/>
    </row>
    <row r="149" spans="2:9" ht="25.5" hidden="1">
      <c r="B149" s="1">
        <v>89</v>
      </c>
      <c r="C149" s="107" t="s">
        <v>140</v>
      </c>
      <c r="D149" s="127" t="s">
        <v>9</v>
      </c>
      <c r="E149" s="109">
        <f t="shared" si="8"/>
        <v>0</v>
      </c>
      <c r="F149" s="132">
        <v>190</v>
      </c>
      <c r="G149" s="115">
        <f t="shared" si="10"/>
        <v>0</v>
      </c>
      <c r="H149" s="112"/>
      <c r="I149" s="113"/>
    </row>
    <row r="150" spans="2:9" ht="12.75" hidden="1">
      <c r="B150" s="1">
        <v>90</v>
      </c>
      <c r="C150" s="107" t="s">
        <v>354</v>
      </c>
      <c r="D150" s="120" t="s">
        <v>9</v>
      </c>
      <c r="E150" s="109">
        <f t="shared" si="8"/>
        <v>165.30727272727273</v>
      </c>
      <c r="F150" s="110">
        <v>190</v>
      </c>
      <c r="G150" s="111">
        <f>E150*F150</f>
        <v>31408.38181818182</v>
      </c>
      <c r="H150" s="112"/>
      <c r="I150" s="113"/>
    </row>
    <row r="151" spans="2:9" ht="12.75" hidden="1">
      <c r="B151" s="1">
        <v>91</v>
      </c>
      <c r="C151" s="107" t="s">
        <v>141</v>
      </c>
      <c r="D151" s="120" t="s">
        <v>4</v>
      </c>
      <c r="E151" s="109">
        <f t="shared" si="8"/>
        <v>9.462375</v>
      </c>
      <c r="F151" s="110">
        <v>80</v>
      </c>
      <c r="G151" s="111">
        <f t="shared" si="10"/>
        <v>756.99</v>
      </c>
      <c r="H151" s="112"/>
      <c r="I151" s="113"/>
    </row>
    <row r="152" spans="2:9" ht="12.75" hidden="1">
      <c r="B152" s="1">
        <v>92</v>
      </c>
      <c r="C152" s="107" t="s">
        <v>142</v>
      </c>
      <c r="D152" s="120" t="s">
        <v>10</v>
      </c>
      <c r="E152" s="109">
        <f t="shared" si="8"/>
        <v>0</v>
      </c>
      <c r="F152" s="110">
        <v>335</v>
      </c>
      <c r="G152" s="111">
        <f t="shared" si="10"/>
        <v>0</v>
      </c>
      <c r="H152" s="112"/>
      <c r="I152" s="113"/>
    </row>
    <row r="153" spans="2:9" ht="12.75" hidden="1">
      <c r="B153" s="1">
        <v>93</v>
      </c>
      <c r="C153" s="107" t="s">
        <v>143</v>
      </c>
      <c r="D153" s="120" t="s">
        <v>9</v>
      </c>
      <c r="E153" s="109">
        <f t="shared" si="8"/>
        <v>0</v>
      </c>
      <c r="F153" s="110">
        <v>5.64</v>
      </c>
      <c r="G153" s="111">
        <f t="shared" si="10"/>
        <v>0</v>
      </c>
      <c r="H153" s="112"/>
      <c r="I153" s="113"/>
    </row>
    <row r="154" spans="2:9" ht="12.75" hidden="1">
      <c r="B154" s="1">
        <v>94</v>
      </c>
      <c r="C154" s="107" t="s">
        <v>144</v>
      </c>
      <c r="D154" s="114" t="s">
        <v>145</v>
      </c>
      <c r="E154" s="109">
        <f t="shared" si="8"/>
        <v>0</v>
      </c>
      <c r="F154" s="110">
        <v>140</v>
      </c>
      <c r="G154" s="111">
        <f t="shared" si="10"/>
        <v>0</v>
      </c>
      <c r="H154" s="112"/>
      <c r="I154" s="113"/>
    </row>
    <row r="155" spans="2:9" ht="12.75" hidden="1">
      <c r="B155" s="1">
        <v>95</v>
      </c>
      <c r="C155" s="133" t="s">
        <v>146</v>
      </c>
      <c r="D155" s="130" t="s">
        <v>3</v>
      </c>
      <c r="E155" s="109">
        <f t="shared" si="8"/>
        <v>0</v>
      </c>
      <c r="F155" s="110">
        <v>90</v>
      </c>
      <c r="G155" s="111">
        <f t="shared" si="10"/>
        <v>0</v>
      </c>
      <c r="H155" s="112"/>
      <c r="I155" s="113"/>
    </row>
    <row r="156" spans="2:9" ht="12.75" hidden="1">
      <c r="B156" s="1">
        <v>96</v>
      </c>
      <c r="C156" s="133" t="s">
        <v>147</v>
      </c>
      <c r="D156" s="130" t="s">
        <v>3</v>
      </c>
      <c r="E156" s="109">
        <f t="shared" si="8"/>
        <v>0</v>
      </c>
      <c r="F156" s="110">
        <v>140</v>
      </c>
      <c r="G156" s="111">
        <f t="shared" si="10"/>
        <v>0</v>
      </c>
      <c r="H156" s="112"/>
      <c r="I156" s="113"/>
    </row>
    <row r="157" spans="2:9" ht="12.75" hidden="1">
      <c r="B157" s="1">
        <v>97</v>
      </c>
      <c r="C157" s="133" t="s">
        <v>148</v>
      </c>
      <c r="D157" s="130" t="s">
        <v>3</v>
      </c>
      <c r="E157" s="109">
        <f aca="true" t="shared" si="11" ref="E157:E188">SUMIF($C$1:$C$59,C157,$E$1:$E$59)</f>
        <v>0</v>
      </c>
      <c r="F157" s="110">
        <v>190</v>
      </c>
      <c r="G157" s="111">
        <f t="shared" si="10"/>
        <v>0</v>
      </c>
      <c r="H157" s="112"/>
      <c r="I157" s="113"/>
    </row>
    <row r="158" spans="2:9" ht="12.75" hidden="1">
      <c r="B158" s="1">
        <v>98</v>
      </c>
      <c r="C158" s="133" t="s">
        <v>149</v>
      </c>
      <c r="D158" s="130" t="s">
        <v>3</v>
      </c>
      <c r="E158" s="109">
        <f t="shared" si="11"/>
        <v>0</v>
      </c>
      <c r="F158" s="110">
        <v>170</v>
      </c>
      <c r="G158" s="111">
        <f t="shared" si="10"/>
        <v>0</v>
      </c>
      <c r="H158" s="112"/>
      <c r="I158" s="113"/>
    </row>
    <row r="159" spans="2:9" ht="12.75" hidden="1">
      <c r="B159" s="1">
        <v>99</v>
      </c>
      <c r="C159" s="133" t="s">
        <v>150</v>
      </c>
      <c r="D159" s="130" t="s">
        <v>3</v>
      </c>
      <c r="E159" s="109">
        <f t="shared" si="11"/>
        <v>0</v>
      </c>
      <c r="F159" s="110">
        <v>221</v>
      </c>
      <c r="G159" s="111">
        <f t="shared" si="10"/>
        <v>0</v>
      </c>
      <c r="H159" s="112"/>
      <c r="I159" s="113"/>
    </row>
    <row r="160" spans="2:9" ht="12.75" hidden="1">
      <c r="B160" s="1">
        <v>100</v>
      </c>
      <c r="C160" s="133" t="s">
        <v>151</v>
      </c>
      <c r="D160" s="130" t="s">
        <v>3</v>
      </c>
      <c r="E160" s="109">
        <f t="shared" si="11"/>
        <v>0</v>
      </c>
      <c r="F160" s="110">
        <v>195</v>
      </c>
      <c r="G160" s="111">
        <f t="shared" si="10"/>
        <v>0</v>
      </c>
      <c r="H160" s="112"/>
      <c r="I160" s="113"/>
    </row>
    <row r="161" spans="2:9" ht="12.75" hidden="1">
      <c r="B161" s="1">
        <v>101</v>
      </c>
      <c r="C161" s="133" t="s">
        <v>152</v>
      </c>
      <c r="D161" s="130" t="s">
        <v>3</v>
      </c>
      <c r="E161" s="109">
        <f t="shared" si="11"/>
        <v>0</v>
      </c>
      <c r="F161" s="110">
        <v>230</v>
      </c>
      <c r="G161" s="111">
        <f t="shared" si="10"/>
        <v>0</v>
      </c>
      <c r="H161" s="112"/>
      <c r="I161" s="113"/>
    </row>
    <row r="162" spans="2:9" ht="12.75" hidden="1">
      <c r="B162" s="1">
        <v>102</v>
      </c>
      <c r="C162" s="133" t="s">
        <v>153</v>
      </c>
      <c r="D162" s="130" t="s">
        <v>3</v>
      </c>
      <c r="E162" s="109">
        <f t="shared" si="11"/>
        <v>0</v>
      </c>
      <c r="F162" s="110">
        <v>200</v>
      </c>
      <c r="G162" s="115">
        <f t="shared" si="10"/>
        <v>0</v>
      </c>
      <c r="H162" s="112"/>
      <c r="I162" s="113"/>
    </row>
    <row r="163" spans="2:9" ht="12.75" hidden="1">
      <c r="B163" s="1">
        <v>103</v>
      </c>
      <c r="C163" s="133" t="s">
        <v>154</v>
      </c>
      <c r="D163" s="130" t="s">
        <v>3</v>
      </c>
      <c r="E163" s="109">
        <f t="shared" si="11"/>
        <v>0</v>
      </c>
      <c r="F163" s="110">
        <v>270</v>
      </c>
      <c r="G163" s="115">
        <f t="shared" si="10"/>
        <v>0</v>
      </c>
      <c r="H163" s="112"/>
      <c r="I163" s="113"/>
    </row>
    <row r="164" spans="2:9" ht="12.75" hidden="1">
      <c r="B164" s="1">
        <v>104</v>
      </c>
      <c r="C164" s="133" t="s">
        <v>155</v>
      </c>
      <c r="D164" s="130" t="s">
        <v>3</v>
      </c>
      <c r="E164" s="109">
        <f t="shared" si="11"/>
        <v>0</v>
      </c>
      <c r="F164" s="110">
        <v>275</v>
      </c>
      <c r="G164" s="115">
        <f t="shared" si="10"/>
        <v>0</v>
      </c>
      <c r="H164" s="112"/>
      <c r="I164" s="113"/>
    </row>
    <row r="165" spans="2:9" ht="12.75" hidden="1">
      <c r="B165" s="1">
        <v>105</v>
      </c>
      <c r="C165" s="133" t="s">
        <v>156</v>
      </c>
      <c r="D165" s="130" t="s">
        <v>3</v>
      </c>
      <c r="E165" s="109">
        <f t="shared" si="11"/>
        <v>0</v>
      </c>
      <c r="F165" s="110">
        <v>320</v>
      </c>
      <c r="G165" s="115">
        <f t="shared" si="10"/>
        <v>0</v>
      </c>
      <c r="H165" s="112"/>
      <c r="I165" s="113"/>
    </row>
    <row r="166" spans="2:9" ht="12.75" hidden="1">
      <c r="B166" s="1">
        <v>106</v>
      </c>
      <c r="C166" s="133" t="s">
        <v>157</v>
      </c>
      <c r="D166" s="130" t="s">
        <v>3</v>
      </c>
      <c r="E166" s="109">
        <f t="shared" si="11"/>
        <v>0</v>
      </c>
      <c r="F166" s="110">
        <v>460</v>
      </c>
      <c r="G166" s="115">
        <f t="shared" si="10"/>
        <v>0</v>
      </c>
      <c r="H166" s="112"/>
      <c r="I166" s="113"/>
    </row>
    <row r="167" spans="2:9" ht="12.75" hidden="1">
      <c r="B167" s="1">
        <v>107</v>
      </c>
      <c r="C167" s="133" t="s">
        <v>158</v>
      </c>
      <c r="D167" s="130" t="s">
        <v>3</v>
      </c>
      <c r="E167" s="109">
        <f t="shared" si="11"/>
        <v>0</v>
      </c>
      <c r="F167" s="110">
        <v>460</v>
      </c>
      <c r="G167" s="115">
        <f t="shared" si="10"/>
        <v>0</v>
      </c>
      <c r="H167" s="112"/>
      <c r="I167" s="113"/>
    </row>
    <row r="168" spans="2:9" ht="12.75" hidden="1">
      <c r="B168" s="1">
        <v>108</v>
      </c>
      <c r="C168" s="133" t="s">
        <v>159</v>
      </c>
      <c r="D168" s="130" t="s">
        <v>3</v>
      </c>
      <c r="E168" s="109">
        <f t="shared" si="11"/>
        <v>0</v>
      </c>
      <c r="F168" s="110">
        <v>385</v>
      </c>
      <c r="G168" s="115">
        <f t="shared" si="10"/>
        <v>0</v>
      </c>
      <c r="H168" s="112"/>
      <c r="I168" s="113"/>
    </row>
    <row r="169" spans="2:9" ht="12.75" hidden="1">
      <c r="B169" s="1">
        <v>109</v>
      </c>
      <c r="C169" s="133" t="s">
        <v>160</v>
      </c>
      <c r="D169" s="130" t="s">
        <v>3</v>
      </c>
      <c r="E169" s="109">
        <f t="shared" si="11"/>
        <v>0</v>
      </c>
      <c r="F169" s="110">
        <v>385</v>
      </c>
      <c r="G169" s="115">
        <f t="shared" si="10"/>
        <v>0</v>
      </c>
      <c r="H169" s="112"/>
      <c r="I169" s="113"/>
    </row>
    <row r="170" spans="2:9" ht="12.75" hidden="1">
      <c r="B170" s="1">
        <v>110</v>
      </c>
      <c r="C170" s="134" t="s">
        <v>161</v>
      </c>
      <c r="D170" s="130" t="s">
        <v>3</v>
      </c>
      <c r="E170" s="109">
        <f t="shared" si="11"/>
        <v>0</v>
      </c>
      <c r="F170" s="110">
        <v>530</v>
      </c>
      <c r="G170" s="115">
        <f t="shared" si="10"/>
        <v>0</v>
      </c>
      <c r="H170" s="112"/>
      <c r="I170" s="113"/>
    </row>
    <row r="171" spans="2:9" ht="12.75" hidden="1">
      <c r="B171" s="1">
        <v>111</v>
      </c>
      <c r="C171" s="134" t="s">
        <v>162</v>
      </c>
      <c r="D171" s="130" t="s">
        <v>3</v>
      </c>
      <c r="E171" s="109">
        <f t="shared" si="11"/>
        <v>0</v>
      </c>
      <c r="F171" s="110">
        <v>750</v>
      </c>
      <c r="G171" s="115">
        <f t="shared" si="10"/>
        <v>0</v>
      </c>
      <c r="H171" s="112"/>
      <c r="I171" s="113"/>
    </row>
    <row r="172" spans="2:9" ht="12.75" hidden="1">
      <c r="B172" s="1">
        <v>112</v>
      </c>
      <c r="C172" s="133" t="s">
        <v>163</v>
      </c>
      <c r="D172" s="130" t="s">
        <v>3</v>
      </c>
      <c r="E172" s="109">
        <f t="shared" si="11"/>
        <v>0</v>
      </c>
      <c r="F172" s="110">
        <v>750</v>
      </c>
      <c r="G172" s="115">
        <f t="shared" si="10"/>
        <v>0</v>
      </c>
      <c r="H172" s="112"/>
      <c r="I172" s="113"/>
    </row>
    <row r="173" spans="2:9" ht="12.75" hidden="1">
      <c r="B173" s="1">
        <v>113</v>
      </c>
      <c r="C173" s="133" t="s">
        <v>164</v>
      </c>
      <c r="D173" s="130" t="s">
        <v>3</v>
      </c>
      <c r="E173" s="109">
        <f t="shared" si="11"/>
        <v>0</v>
      </c>
      <c r="F173" s="110">
        <v>1250</v>
      </c>
      <c r="G173" s="115">
        <f t="shared" si="10"/>
        <v>0</v>
      </c>
      <c r="H173" s="112"/>
      <c r="I173" s="113"/>
    </row>
    <row r="174" spans="2:9" ht="12.75" hidden="1">
      <c r="B174" s="1">
        <v>114</v>
      </c>
      <c r="C174" s="133" t="s">
        <v>165</v>
      </c>
      <c r="D174" s="130" t="s">
        <v>3</v>
      </c>
      <c r="E174" s="109">
        <f t="shared" si="11"/>
        <v>0</v>
      </c>
      <c r="F174" s="110">
        <v>900</v>
      </c>
      <c r="G174" s="115">
        <f t="shared" si="10"/>
        <v>0</v>
      </c>
      <c r="H174" s="112"/>
      <c r="I174" s="113"/>
    </row>
    <row r="175" spans="2:9" ht="12.75" hidden="1">
      <c r="B175" s="1">
        <v>115</v>
      </c>
      <c r="C175" s="133" t="s">
        <v>166</v>
      </c>
      <c r="D175" s="130" t="s">
        <v>3</v>
      </c>
      <c r="E175" s="109">
        <f t="shared" si="11"/>
        <v>0</v>
      </c>
      <c r="F175" s="110">
        <v>900</v>
      </c>
      <c r="G175" s="115">
        <f t="shared" si="10"/>
        <v>0</v>
      </c>
      <c r="H175" s="112"/>
      <c r="I175" s="113"/>
    </row>
    <row r="176" spans="2:9" ht="12.75" hidden="1">
      <c r="B176" s="1">
        <v>116</v>
      </c>
      <c r="C176" s="133" t="s">
        <v>167</v>
      </c>
      <c r="D176" s="130" t="s">
        <v>3</v>
      </c>
      <c r="E176" s="109">
        <f t="shared" si="11"/>
        <v>0</v>
      </c>
      <c r="F176" s="110">
        <v>1700</v>
      </c>
      <c r="G176" s="115">
        <f t="shared" si="10"/>
        <v>0</v>
      </c>
      <c r="H176" s="112"/>
      <c r="I176" s="117"/>
    </row>
    <row r="177" spans="2:9" ht="12.75" hidden="1">
      <c r="B177" s="1">
        <v>117</v>
      </c>
      <c r="C177" s="107" t="s">
        <v>168</v>
      </c>
      <c r="D177" s="135" t="s">
        <v>169</v>
      </c>
      <c r="E177" s="109">
        <f t="shared" si="11"/>
        <v>0</v>
      </c>
      <c r="F177" s="110">
        <v>150</v>
      </c>
      <c r="G177" s="111">
        <f t="shared" si="10"/>
        <v>0</v>
      </c>
      <c r="H177" s="112"/>
      <c r="I177" s="113"/>
    </row>
    <row r="178" spans="2:9" ht="12.75" hidden="1">
      <c r="B178" s="1">
        <v>118</v>
      </c>
      <c r="C178" s="107" t="s">
        <v>372</v>
      </c>
      <c r="D178" s="120" t="s">
        <v>19</v>
      </c>
      <c r="E178" s="109">
        <f t="shared" si="11"/>
        <v>15.400000000000002</v>
      </c>
      <c r="F178" s="110">
        <v>180</v>
      </c>
      <c r="G178" s="111">
        <f>E178*F178</f>
        <v>2772.0000000000005</v>
      </c>
      <c r="H178" s="112"/>
      <c r="I178" s="113"/>
    </row>
    <row r="179" spans="2:9" ht="12.75" hidden="1">
      <c r="B179" s="1">
        <v>119</v>
      </c>
      <c r="C179" s="107" t="s">
        <v>170</v>
      </c>
      <c r="D179" s="120" t="s">
        <v>32</v>
      </c>
      <c r="E179" s="109">
        <f t="shared" si="11"/>
        <v>0</v>
      </c>
      <c r="F179" s="110">
        <v>22</v>
      </c>
      <c r="G179" s="111">
        <f t="shared" si="10"/>
        <v>0</v>
      </c>
      <c r="H179" s="112"/>
      <c r="I179" s="113"/>
    </row>
    <row r="180" spans="2:9" ht="12.75" hidden="1">
      <c r="B180" s="1">
        <v>120</v>
      </c>
      <c r="C180" s="107" t="s">
        <v>171</v>
      </c>
      <c r="D180" s="108" t="s">
        <v>3</v>
      </c>
      <c r="E180" s="109">
        <f t="shared" si="11"/>
        <v>0</v>
      </c>
      <c r="F180" s="110">
        <v>15</v>
      </c>
      <c r="G180" s="111">
        <f t="shared" si="10"/>
        <v>0</v>
      </c>
      <c r="H180" s="112"/>
      <c r="I180" s="113"/>
    </row>
    <row r="181" spans="2:9" ht="12.75" hidden="1">
      <c r="B181" s="1">
        <v>121</v>
      </c>
      <c r="C181" s="107" t="s">
        <v>172</v>
      </c>
      <c r="D181" s="120" t="s">
        <v>9</v>
      </c>
      <c r="E181" s="109">
        <f t="shared" si="11"/>
        <v>0</v>
      </c>
      <c r="F181" s="110">
        <v>31</v>
      </c>
      <c r="G181" s="111">
        <f t="shared" si="10"/>
        <v>0</v>
      </c>
      <c r="H181" s="112"/>
      <c r="I181" s="113"/>
    </row>
    <row r="182" spans="2:9" ht="12.75" hidden="1">
      <c r="B182" s="1">
        <v>122</v>
      </c>
      <c r="C182" s="107" t="s">
        <v>173</v>
      </c>
      <c r="D182" s="127" t="s">
        <v>4</v>
      </c>
      <c r="E182" s="109">
        <f t="shared" si="11"/>
        <v>0</v>
      </c>
      <c r="F182" s="110">
        <v>30</v>
      </c>
      <c r="G182" s="111">
        <f t="shared" si="10"/>
        <v>0</v>
      </c>
      <c r="H182" s="112"/>
      <c r="I182" s="113"/>
    </row>
    <row r="183" spans="2:9" ht="12.75" hidden="1">
      <c r="B183" s="1">
        <v>123</v>
      </c>
      <c r="C183" s="107" t="s">
        <v>174</v>
      </c>
      <c r="D183" s="120" t="s">
        <v>9</v>
      </c>
      <c r="E183" s="109">
        <f t="shared" si="11"/>
        <v>38.80800000000001</v>
      </c>
      <c r="F183" s="110">
        <v>164.5</v>
      </c>
      <c r="G183" s="111">
        <f t="shared" si="10"/>
        <v>6383.916000000001</v>
      </c>
      <c r="H183" s="112"/>
      <c r="I183" s="113"/>
    </row>
    <row r="184" spans="2:9" ht="12.75" hidden="1">
      <c r="B184" s="1">
        <v>124</v>
      </c>
      <c r="C184" s="107" t="s">
        <v>175</v>
      </c>
      <c r="D184" s="123" t="s">
        <v>3</v>
      </c>
      <c r="E184" s="109">
        <f t="shared" si="11"/>
        <v>88.7</v>
      </c>
      <c r="F184" s="110">
        <v>4500</v>
      </c>
      <c r="G184" s="111">
        <f>I184*F184</f>
        <v>1496.8125000000002</v>
      </c>
      <c r="H184" s="124" t="s">
        <v>1</v>
      </c>
      <c r="I184" s="136">
        <f>E184*0.05*0.025*3</f>
        <v>0.33262500000000006</v>
      </c>
    </row>
    <row r="185" spans="2:9" ht="12.75" hidden="1">
      <c r="B185" s="1">
        <v>125</v>
      </c>
      <c r="C185" s="107" t="s">
        <v>176</v>
      </c>
      <c r="D185" s="120" t="s">
        <v>10</v>
      </c>
      <c r="E185" s="109">
        <f t="shared" si="11"/>
        <v>0</v>
      </c>
      <c r="F185" s="110">
        <v>126</v>
      </c>
      <c r="G185" s="111">
        <f aca="true" t="shared" si="12" ref="G185:G214">E185*F185</f>
        <v>0</v>
      </c>
      <c r="H185" s="112"/>
      <c r="I185" s="113"/>
    </row>
    <row r="186" spans="2:9" ht="12.75" hidden="1">
      <c r="B186" s="1">
        <v>126</v>
      </c>
      <c r="C186" s="107" t="s">
        <v>177</v>
      </c>
      <c r="D186" s="120" t="s">
        <v>9</v>
      </c>
      <c r="E186" s="109">
        <f t="shared" si="11"/>
        <v>26.255737704918033</v>
      </c>
      <c r="F186" s="110">
        <v>9.4</v>
      </c>
      <c r="G186" s="111">
        <f t="shared" si="12"/>
        <v>246.80393442622952</v>
      </c>
      <c r="H186" s="112"/>
      <c r="I186" s="113"/>
    </row>
    <row r="187" spans="2:9" ht="12.75" hidden="1">
      <c r="B187" s="1">
        <v>127</v>
      </c>
      <c r="C187" s="107" t="s">
        <v>178</v>
      </c>
      <c r="D187" s="120" t="s">
        <v>10</v>
      </c>
      <c r="E187" s="109">
        <f t="shared" si="11"/>
        <v>422.5760000000001</v>
      </c>
      <c r="F187" s="110">
        <v>0.99</v>
      </c>
      <c r="G187" s="111">
        <f t="shared" si="12"/>
        <v>418.3502400000001</v>
      </c>
      <c r="H187" s="112"/>
      <c r="I187" s="113"/>
    </row>
    <row r="188" spans="2:9" ht="12.75" hidden="1">
      <c r="B188" s="1">
        <v>128</v>
      </c>
      <c r="C188" s="107" t="s">
        <v>179</v>
      </c>
      <c r="D188" s="108" t="s">
        <v>10</v>
      </c>
      <c r="E188" s="109">
        <f t="shared" si="11"/>
        <v>1840.0000000000002</v>
      </c>
      <c r="F188" s="110">
        <v>0.155</v>
      </c>
      <c r="G188" s="111">
        <f t="shared" si="12"/>
        <v>285.20000000000005</v>
      </c>
      <c r="H188" s="112"/>
      <c r="I188" s="113"/>
    </row>
    <row r="189" spans="2:9" ht="12.75" hidden="1">
      <c r="B189" s="1">
        <v>129</v>
      </c>
      <c r="C189" s="107" t="s">
        <v>180</v>
      </c>
      <c r="D189" s="108" t="s">
        <v>10</v>
      </c>
      <c r="E189" s="109">
        <f aca="true" t="shared" si="13" ref="E189:E220">SUMIF($C$1:$C$59,C189,$E$1:$E$59)</f>
        <v>0</v>
      </c>
      <c r="F189" s="110">
        <v>0.155</v>
      </c>
      <c r="G189" s="111">
        <f t="shared" si="12"/>
        <v>0</v>
      </c>
      <c r="H189" s="112"/>
      <c r="I189" s="113"/>
    </row>
    <row r="190" spans="2:9" ht="12.75" hidden="1">
      <c r="B190" s="1">
        <v>130</v>
      </c>
      <c r="C190" s="107" t="s">
        <v>181</v>
      </c>
      <c r="D190" s="108" t="s">
        <v>10</v>
      </c>
      <c r="E190" s="109">
        <f t="shared" si="13"/>
        <v>1152</v>
      </c>
      <c r="F190" s="110">
        <v>0.28</v>
      </c>
      <c r="G190" s="111">
        <f t="shared" si="12"/>
        <v>322.56000000000006</v>
      </c>
      <c r="H190" s="112"/>
      <c r="I190" s="113"/>
    </row>
    <row r="191" spans="2:9" ht="12.75" hidden="1">
      <c r="B191" s="1">
        <v>131</v>
      </c>
      <c r="C191" s="107" t="s">
        <v>182</v>
      </c>
      <c r="D191" s="108" t="s">
        <v>10</v>
      </c>
      <c r="E191" s="109">
        <f t="shared" si="13"/>
        <v>420</v>
      </c>
      <c r="F191" s="110">
        <v>0.155</v>
      </c>
      <c r="G191" s="111">
        <f t="shared" si="12"/>
        <v>65.1</v>
      </c>
      <c r="H191" s="112"/>
      <c r="I191" s="113"/>
    </row>
    <row r="192" spans="2:9" ht="12.75" customHeight="1" hidden="1">
      <c r="B192" s="1">
        <v>132</v>
      </c>
      <c r="C192" s="107" t="s">
        <v>183</v>
      </c>
      <c r="D192" s="129" t="s">
        <v>10</v>
      </c>
      <c r="E192" s="109">
        <f t="shared" si="13"/>
        <v>0</v>
      </c>
      <c r="F192" s="110">
        <v>15</v>
      </c>
      <c r="G192" s="111">
        <f t="shared" si="12"/>
        <v>0</v>
      </c>
      <c r="H192" s="112"/>
      <c r="I192" s="113"/>
    </row>
    <row r="193" spans="2:9" ht="12.75" hidden="1">
      <c r="B193" s="1">
        <v>133</v>
      </c>
      <c r="C193" s="107" t="s">
        <v>184</v>
      </c>
      <c r="D193" s="120" t="s">
        <v>10</v>
      </c>
      <c r="E193" s="109">
        <f t="shared" si="13"/>
        <v>0</v>
      </c>
      <c r="F193" s="110">
        <v>73</v>
      </c>
      <c r="G193" s="111">
        <f t="shared" si="12"/>
        <v>0</v>
      </c>
      <c r="H193" s="112"/>
      <c r="I193" s="113"/>
    </row>
    <row r="194" spans="2:9" ht="12.75" hidden="1">
      <c r="B194" s="1">
        <v>134</v>
      </c>
      <c r="C194" s="107" t="s">
        <v>185</v>
      </c>
      <c r="D194" s="120" t="s">
        <v>10</v>
      </c>
      <c r="E194" s="109">
        <f t="shared" si="13"/>
        <v>0</v>
      </c>
      <c r="F194" s="110">
        <v>54</v>
      </c>
      <c r="G194" s="111">
        <f t="shared" si="12"/>
        <v>0</v>
      </c>
      <c r="H194" s="112"/>
      <c r="I194" s="113"/>
    </row>
    <row r="195" spans="2:9" ht="12.75" hidden="1">
      <c r="B195" s="1">
        <v>135</v>
      </c>
      <c r="C195" s="107" t="s">
        <v>186</v>
      </c>
      <c r="D195" s="120" t="s">
        <v>10</v>
      </c>
      <c r="E195" s="109">
        <f t="shared" si="13"/>
        <v>0</v>
      </c>
      <c r="F195" s="110">
        <v>129</v>
      </c>
      <c r="G195" s="111">
        <f t="shared" si="12"/>
        <v>0</v>
      </c>
      <c r="H195" s="112"/>
      <c r="I195" s="113"/>
    </row>
    <row r="196" spans="2:9" ht="12.75" hidden="1">
      <c r="B196" s="1">
        <v>136</v>
      </c>
      <c r="C196" s="107" t="s">
        <v>187</v>
      </c>
      <c r="D196" s="120" t="s">
        <v>10</v>
      </c>
      <c r="E196" s="109">
        <f t="shared" si="13"/>
        <v>0</v>
      </c>
      <c r="F196" s="110">
        <v>100</v>
      </c>
      <c r="G196" s="111">
        <f t="shared" si="12"/>
        <v>0</v>
      </c>
      <c r="H196" s="112"/>
      <c r="I196" s="113"/>
    </row>
    <row r="197" spans="2:9" ht="12.75" hidden="1">
      <c r="B197" s="1">
        <v>137</v>
      </c>
      <c r="C197" s="107" t="s">
        <v>352</v>
      </c>
      <c r="D197" s="108" t="s">
        <v>3</v>
      </c>
      <c r="E197" s="109">
        <f t="shared" si="13"/>
        <v>184.00000000000003</v>
      </c>
      <c r="F197" s="110">
        <v>28.8</v>
      </c>
      <c r="G197" s="111">
        <f t="shared" si="12"/>
        <v>5299.200000000001</v>
      </c>
      <c r="H197" s="112"/>
      <c r="I197" s="113"/>
    </row>
    <row r="198" spans="2:9" ht="12.75" hidden="1">
      <c r="B198" s="1">
        <v>138</v>
      </c>
      <c r="C198" s="107" t="s">
        <v>188</v>
      </c>
      <c r="D198" s="120" t="s">
        <v>10</v>
      </c>
      <c r="E198" s="109">
        <f t="shared" si="13"/>
        <v>0</v>
      </c>
      <c r="F198" s="110">
        <v>290</v>
      </c>
      <c r="G198" s="111">
        <f t="shared" si="12"/>
        <v>0</v>
      </c>
      <c r="H198" s="112"/>
      <c r="I198" s="113"/>
    </row>
    <row r="199" spans="2:9" ht="12.75" hidden="1">
      <c r="B199" s="1">
        <v>139</v>
      </c>
      <c r="C199" s="107" t="s">
        <v>189</v>
      </c>
      <c r="D199" s="120" t="s">
        <v>10</v>
      </c>
      <c r="E199" s="109">
        <f t="shared" si="13"/>
        <v>0</v>
      </c>
      <c r="F199" s="110">
        <v>225</v>
      </c>
      <c r="G199" s="111">
        <f t="shared" si="12"/>
        <v>0</v>
      </c>
      <c r="H199" s="112"/>
      <c r="I199" s="113"/>
    </row>
    <row r="200" spans="2:9" ht="12.75" hidden="1">
      <c r="B200" s="1">
        <v>140</v>
      </c>
      <c r="C200" s="107" t="s">
        <v>190</v>
      </c>
      <c r="D200" s="120" t="s">
        <v>10</v>
      </c>
      <c r="E200" s="109">
        <f t="shared" si="13"/>
        <v>0</v>
      </c>
      <c r="F200" s="110">
        <v>323</v>
      </c>
      <c r="G200" s="111">
        <f t="shared" si="12"/>
        <v>0</v>
      </c>
      <c r="H200" s="112"/>
      <c r="I200" s="113"/>
    </row>
    <row r="201" spans="2:9" ht="12.75" hidden="1">
      <c r="B201" s="1">
        <v>141</v>
      </c>
      <c r="C201" s="107" t="s">
        <v>191</v>
      </c>
      <c r="D201" s="120" t="s">
        <v>10</v>
      </c>
      <c r="E201" s="109">
        <f t="shared" si="13"/>
        <v>0</v>
      </c>
      <c r="F201" s="110">
        <v>431</v>
      </c>
      <c r="G201" s="111">
        <f t="shared" si="12"/>
        <v>0</v>
      </c>
      <c r="H201" s="112"/>
      <c r="I201" s="113"/>
    </row>
    <row r="202" spans="2:9" ht="12.75" hidden="1">
      <c r="B202" s="1">
        <v>142</v>
      </c>
      <c r="C202" s="107" t="s">
        <v>192</v>
      </c>
      <c r="D202" s="120" t="s">
        <v>10</v>
      </c>
      <c r="E202" s="109">
        <f t="shared" si="13"/>
        <v>0</v>
      </c>
      <c r="F202" s="110">
        <v>252</v>
      </c>
      <c r="G202" s="111">
        <f t="shared" si="12"/>
        <v>0</v>
      </c>
      <c r="H202" s="112"/>
      <c r="I202" s="113"/>
    </row>
    <row r="203" spans="2:9" ht="12.75" hidden="1">
      <c r="B203" s="1">
        <v>143</v>
      </c>
      <c r="C203" s="107" t="s">
        <v>193</v>
      </c>
      <c r="D203" s="120" t="s">
        <v>10</v>
      </c>
      <c r="E203" s="109">
        <f t="shared" si="13"/>
        <v>0</v>
      </c>
      <c r="F203" s="110">
        <v>412</v>
      </c>
      <c r="G203" s="111">
        <f t="shared" si="12"/>
        <v>0</v>
      </c>
      <c r="H203" s="112"/>
      <c r="I203" s="113"/>
    </row>
    <row r="204" spans="2:9" ht="12.75" hidden="1">
      <c r="B204" s="1">
        <v>144</v>
      </c>
      <c r="C204" s="107" t="s">
        <v>194</v>
      </c>
      <c r="D204" s="114" t="s">
        <v>2</v>
      </c>
      <c r="E204" s="109">
        <f t="shared" si="13"/>
        <v>0</v>
      </c>
      <c r="F204" s="110">
        <v>14.5</v>
      </c>
      <c r="G204" s="111">
        <f t="shared" si="12"/>
        <v>0</v>
      </c>
      <c r="H204" s="112"/>
      <c r="I204" s="113"/>
    </row>
    <row r="205" spans="2:9" ht="12.75" hidden="1">
      <c r="B205" s="1">
        <v>145</v>
      </c>
      <c r="C205" s="107" t="s">
        <v>195</v>
      </c>
      <c r="D205" s="120" t="s">
        <v>32</v>
      </c>
      <c r="E205" s="109">
        <f t="shared" si="13"/>
        <v>52.92</v>
      </c>
      <c r="F205" s="110">
        <v>57</v>
      </c>
      <c r="G205" s="111">
        <f t="shared" si="12"/>
        <v>3016.44</v>
      </c>
      <c r="H205" s="112"/>
      <c r="I205" s="113"/>
    </row>
    <row r="206" spans="2:9" ht="12.75" hidden="1">
      <c r="B206" s="1">
        <v>146</v>
      </c>
      <c r="C206" s="107" t="s">
        <v>196</v>
      </c>
      <c r="D206" s="120" t="s">
        <v>32</v>
      </c>
      <c r="E206" s="109">
        <f t="shared" si="13"/>
        <v>0</v>
      </c>
      <c r="F206" s="110">
        <v>57</v>
      </c>
      <c r="G206" s="111">
        <f t="shared" si="12"/>
        <v>0</v>
      </c>
      <c r="H206" s="112"/>
      <c r="I206" s="113"/>
    </row>
    <row r="207" spans="2:9" ht="12.75" hidden="1">
      <c r="B207" s="1">
        <v>147</v>
      </c>
      <c r="C207" s="107" t="s">
        <v>197</v>
      </c>
      <c r="D207" s="120" t="s">
        <v>10</v>
      </c>
      <c r="E207" s="109">
        <f t="shared" si="13"/>
        <v>0</v>
      </c>
      <c r="F207" s="110">
        <v>177</v>
      </c>
      <c r="G207" s="111">
        <f t="shared" si="12"/>
        <v>0</v>
      </c>
      <c r="H207" s="112"/>
      <c r="I207" s="113"/>
    </row>
    <row r="208" spans="2:9" ht="12.75" hidden="1">
      <c r="B208" s="1">
        <v>148</v>
      </c>
      <c r="C208" s="107" t="s">
        <v>198</v>
      </c>
      <c r="D208" s="120" t="s">
        <v>10</v>
      </c>
      <c r="E208" s="109">
        <f t="shared" si="13"/>
        <v>0</v>
      </c>
      <c r="F208" s="110">
        <v>177</v>
      </c>
      <c r="G208" s="111">
        <f t="shared" si="12"/>
        <v>0</v>
      </c>
      <c r="H208" s="112"/>
      <c r="I208" s="113"/>
    </row>
    <row r="209" spans="2:9" ht="12.75" hidden="1">
      <c r="B209" s="1">
        <v>149</v>
      </c>
      <c r="C209" s="107" t="s">
        <v>199</v>
      </c>
      <c r="D209" s="120" t="s">
        <v>10</v>
      </c>
      <c r="E209" s="109">
        <f t="shared" si="13"/>
        <v>0</v>
      </c>
      <c r="F209" s="110">
        <v>338.26</v>
      </c>
      <c r="G209" s="111">
        <f t="shared" si="12"/>
        <v>0</v>
      </c>
      <c r="H209" s="112"/>
      <c r="I209" s="113"/>
    </row>
    <row r="210" spans="2:9" ht="12.75" hidden="1">
      <c r="B210" s="1">
        <v>150</v>
      </c>
      <c r="C210" s="107" t="s">
        <v>200</v>
      </c>
      <c r="D210" s="120" t="s">
        <v>10</v>
      </c>
      <c r="E210" s="109">
        <f t="shared" si="13"/>
        <v>0</v>
      </c>
      <c r="F210" s="110">
        <v>338.26</v>
      </c>
      <c r="G210" s="111">
        <f t="shared" si="12"/>
        <v>0</v>
      </c>
      <c r="H210" s="112"/>
      <c r="I210" s="113"/>
    </row>
    <row r="211" spans="2:9" ht="12.75" hidden="1">
      <c r="B211" s="1">
        <v>151</v>
      </c>
      <c r="C211" s="107" t="s">
        <v>201</v>
      </c>
      <c r="D211" s="120" t="s">
        <v>10</v>
      </c>
      <c r="E211" s="109">
        <f t="shared" si="13"/>
        <v>0</v>
      </c>
      <c r="F211" s="110">
        <v>177</v>
      </c>
      <c r="G211" s="111">
        <f t="shared" si="12"/>
        <v>0</v>
      </c>
      <c r="H211" s="112"/>
      <c r="I211" s="113"/>
    </row>
    <row r="212" spans="2:9" ht="12.75" hidden="1">
      <c r="B212" s="1">
        <v>152</v>
      </c>
      <c r="C212" s="107" t="s">
        <v>202</v>
      </c>
      <c r="D212" s="120" t="s">
        <v>10</v>
      </c>
      <c r="E212" s="109">
        <f t="shared" si="13"/>
        <v>0</v>
      </c>
      <c r="F212" s="110">
        <v>177</v>
      </c>
      <c r="G212" s="111">
        <f t="shared" si="12"/>
        <v>0</v>
      </c>
      <c r="H212" s="112"/>
      <c r="I212" s="113"/>
    </row>
    <row r="213" spans="2:9" ht="12.75" hidden="1">
      <c r="B213" s="1">
        <v>153</v>
      </c>
      <c r="C213" s="107" t="s">
        <v>203</v>
      </c>
      <c r="D213" s="120" t="s">
        <v>10</v>
      </c>
      <c r="E213" s="109">
        <f t="shared" si="13"/>
        <v>0</v>
      </c>
      <c r="F213" s="110">
        <v>262</v>
      </c>
      <c r="G213" s="111">
        <f t="shared" si="12"/>
        <v>0</v>
      </c>
      <c r="H213" s="112"/>
      <c r="I213" s="113"/>
    </row>
    <row r="214" spans="2:9" ht="12.75" hidden="1">
      <c r="B214" s="1">
        <v>154</v>
      </c>
      <c r="C214" s="107" t="s">
        <v>204</v>
      </c>
      <c r="D214" s="120" t="s">
        <v>10</v>
      </c>
      <c r="E214" s="109">
        <f t="shared" si="13"/>
        <v>0</v>
      </c>
      <c r="F214" s="110">
        <v>262</v>
      </c>
      <c r="G214" s="111">
        <f t="shared" si="12"/>
        <v>0</v>
      </c>
      <c r="H214" s="112"/>
      <c r="I214" s="113"/>
    </row>
    <row r="215" spans="2:9" ht="12.75" hidden="1">
      <c r="B215" s="1">
        <v>155</v>
      </c>
      <c r="C215" s="107" t="s">
        <v>205</v>
      </c>
      <c r="D215" s="127" t="s">
        <v>19</v>
      </c>
      <c r="E215" s="109">
        <f t="shared" si="13"/>
        <v>0</v>
      </c>
      <c r="F215" s="110">
        <v>22050</v>
      </c>
      <c r="G215" s="111">
        <f>H215*F215</f>
        <v>0</v>
      </c>
      <c r="H215" s="131">
        <f>E215*0.00242</f>
        <v>0</v>
      </c>
      <c r="I215" s="113"/>
    </row>
    <row r="216" spans="2:9" ht="12.75" hidden="1">
      <c r="B216" s="1">
        <v>156</v>
      </c>
      <c r="C216" s="107" t="s">
        <v>206</v>
      </c>
      <c r="D216" s="120" t="s">
        <v>9</v>
      </c>
      <c r="E216" s="109">
        <f t="shared" si="13"/>
        <v>0</v>
      </c>
      <c r="F216" s="110">
        <v>35</v>
      </c>
      <c r="G216" s="111">
        <f>E216*F216</f>
        <v>0</v>
      </c>
      <c r="H216" s="112"/>
      <c r="I216" s="113"/>
    </row>
    <row r="217" spans="2:9" ht="12.75" hidden="1">
      <c r="B217" s="1">
        <v>157</v>
      </c>
      <c r="C217" s="107" t="s">
        <v>207</v>
      </c>
      <c r="D217" s="127" t="s">
        <v>19</v>
      </c>
      <c r="E217" s="109">
        <f t="shared" si="13"/>
        <v>23.52</v>
      </c>
      <c r="F217" s="110">
        <v>22</v>
      </c>
      <c r="G217" s="111">
        <f>E217*F217</f>
        <v>517.4399999999999</v>
      </c>
      <c r="H217" s="112"/>
      <c r="I217" s="113"/>
    </row>
    <row r="218" spans="2:9" ht="12.75" hidden="1">
      <c r="B218" s="1">
        <v>158</v>
      </c>
      <c r="C218" s="107" t="s">
        <v>208</v>
      </c>
      <c r="D218" s="135" t="s">
        <v>169</v>
      </c>
      <c r="E218" s="109">
        <f t="shared" si="13"/>
        <v>0</v>
      </c>
      <c r="F218" s="110">
        <v>2520</v>
      </c>
      <c r="G218" s="111">
        <f>F218*E218</f>
        <v>0</v>
      </c>
      <c r="H218" s="112"/>
      <c r="I218" s="113"/>
    </row>
    <row r="219" spans="2:9" ht="12.75" hidden="1">
      <c r="B219" s="1">
        <v>159</v>
      </c>
      <c r="C219" s="107" t="s">
        <v>209</v>
      </c>
      <c r="D219" s="127" t="s">
        <v>3</v>
      </c>
      <c r="E219" s="109">
        <f t="shared" si="13"/>
        <v>0</v>
      </c>
      <c r="F219" s="110">
        <v>0.7</v>
      </c>
      <c r="G219" s="111">
        <f>E219*F219</f>
        <v>0</v>
      </c>
      <c r="H219" s="112"/>
      <c r="I219" s="113"/>
    </row>
    <row r="220" spans="2:9" ht="12.75" hidden="1">
      <c r="B220" s="1">
        <v>160</v>
      </c>
      <c r="C220" s="107" t="s">
        <v>210</v>
      </c>
      <c r="D220" s="108" t="s">
        <v>10</v>
      </c>
      <c r="E220" s="109">
        <f t="shared" si="13"/>
        <v>0</v>
      </c>
      <c r="F220" s="110">
        <v>1.1</v>
      </c>
      <c r="G220" s="111">
        <f>E220*F220</f>
        <v>0</v>
      </c>
      <c r="H220" s="112"/>
      <c r="I220" s="113"/>
    </row>
    <row r="221" spans="2:9" ht="12.75" hidden="1">
      <c r="B221" s="1">
        <v>161</v>
      </c>
      <c r="C221" s="107" t="s">
        <v>211</v>
      </c>
      <c r="D221" s="108" t="s">
        <v>10</v>
      </c>
      <c r="E221" s="109">
        <f aca="true" t="shared" si="14" ref="E221:E234">SUMIF($C$1:$C$59,C221,$E$1:$E$59)</f>
        <v>46</v>
      </c>
      <c r="F221" s="110">
        <v>1.5</v>
      </c>
      <c r="G221" s="111">
        <f>E221*F221</f>
        <v>69</v>
      </c>
      <c r="H221" s="112"/>
      <c r="I221" s="113"/>
    </row>
    <row r="222" spans="2:9" ht="12.75" hidden="1">
      <c r="B222" s="1">
        <v>162</v>
      </c>
      <c r="C222" s="107" t="s">
        <v>212</v>
      </c>
      <c r="D222" s="114" t="s">
        <v>5</v>
      </c>
      <c r="E222" s="109">
        <f t="shared" si="14"/>
        <v>0</v>
      </c>
      <c r="F222" s="110">
        <v>24190</v>
      </c>
      <c r="G222" s="111">
        <f aca="true" t="shared" si="15" ref="G222:G227">F222*H222</f>
        <v>0</v>
      </c>
      <c r="H222" s="116">
        <f>E222*0.008595</f>
        <v>0</v>
      </c>
      <c r="I222" s="113"/>
    </row>
    <row r="223" spans="2:9" ht="12.75" hidden="1">
      <c r="B223" s="1">
        <v>163</v>
      </c>
      <c r="C223" s="107" t="s">
        <v>213</v>
      </c>
      <c r="D223" s="114" t="s">
        <v>5</v>
      </c>
      <c r="E223" s="109">
        <f t="shared" si="14"/>
        <v>0</v>
      </c>
      <c r="F223" s="110">
        <v>22160</v>
      </c>
      <c r="G223" s="111">
        <f t="shared" si="15"/>
        <v>0</v>
      </c>
      <c r="H223" s="116">
        <f>E223*0.01042</f>
        <v>0</v>
      </c>
      <c r="I223" s="113"/>
    </row>
    <row r="224" spans="2:9" ht="12.75" hidden="1">
      <c r="B224" s="1">
        <v>164</v>
      </c>
      <c r="C224" s="107" t="s">
        <v>214</v>
      </c>
      <c r="D224" s="114" t="s">
        <v>5</v>
      </c>
      <c r="E224" s="109">
        <f t="shared" si="14"/>
        <v>0</v>
      </c>
      <c r="F224" s="110">
        <v>22270</v>
      </c>
      <c r="G224" s="111">
        <f t="shared" si="15"/>
        <v>0</v>
      </c>
      <c r="H224" s="116">
        <f>E224*0.01229</f>
        <v>0</v>
      </c>
      <c r="I224" s="113"/>
    </row>
    <row r="225" spans="2:9" ht="12.75" hidden="1">
      <c r="B225" s="1">
        <v>165</v>
      </c>
      <c r="C225" s="107" t="s">
        <v>215</v>
      </c>
      <c r="D225" s="114" t="s">
        <v>5</v>
      </c>
      <c r="E225" s="109">
        <f t="shared" si="14"/>
        <v>0</v>
      </c>
      <c r="F225" s="110">
        <v>21960</v>
      </c>
      <c r="G225" s="111">
        <f t="shared" si="15"/>
        <v>0</v>
      </c>
      <c r="H225" s="116">
        <f>E225*0.0142</f>
        <v>0</v>
      </c>
      <c r="I225" s="113"/>
    </row>
    <row r="226" spans="2:9" ht="12.75" hidden="1">
      <c r="B226" s="1">
        <v>166</v>
      </c>
      <c r="C226" s="107" t="s">
        <v>216</v>
      </c>
      <c r="D226" s="114" t="s">
        <v>5</v>
      </c>
      <c r="E226" s="109">
        <f t="shared" si="14"/>
        <v>0</v>
      </c>
      <c r="F226" s="110">
        <v>22460</v>
      </c>
      <c r="G226" s="111">
        <f t="shared" si="15"/>
        <v>0</v>
      </c>
      <c r="H226" s="116">
        <f>E226*0.01626</f>
        <v>0</v>
      </c>
      <c r="I226" s="113"/>
    </row>
    <row r="227" spans="2:9" ht="12.75" hidden="1">
      <c r="B227" s="1">
        <v>167</v>
      </c>
      <c r="C227" s="107" t="s">
        <v>217</v>
      </c>
      <c r="D227" s="114" t="s">
        <v>5</v>
      </c>
      <c r="E227" s="109">
        <f t="shared" si="14"/>
        <v>0</v>
      </c>
      <c r="F227" s="110">
        <v>25300</v>
      </c>
      <c r="G227" s="111">
        <f t="shared" si="15"/>
        <v>0</v>
      </c>
      <c r="H227" s="116">
        <f>E227*0.00859</f>
        <v>0</v>
      </c>
      <c r="I227" s="117"/>
    </row>
    <row r="228" spans="2:9" ht="12.75" hidden="1">
      <c r="B228" s="1">
        <v>168</v>
      </c>
      <c r="C228" s="107" t="s">
        <v>218</v>
      </c>
      <c r="D228" s="127" t="s">
        <v>9</v>
      </c>
      <c r="E228" s="109">
        <f t="shared" si="14"/>
        <v>0</v>
      </c>
      <c r="F228" s="132">
        <v>175</v>
      </c>
      <c r="G228" s="111">
        <f>E228*F228</f>
        <v>0</v>
      </c>
      <c r="H228" s="112"/>
      <c r="I228" s="113"/>
    </row>
    <row r="229" spans="2:9" ht="12.75" hidden="1">
      <c r="B229" s="1">
        <v>169</v>
      </c>
      <c r="C229" s="107" t="s">
        <v>219</v>
      </c>
      <c r="D229" s="127" t="s">
        <v>10</v>
      </c>
      <c r="E229" s="109">
        <f t="shared" si="14"/>
        <v>0</v>
      </c>
      <c r="F229" s="137">
        <v>24</v>
      </c>
      <c r="G229" s="111">
        <f>E229*F229</f>
        <v>0</v>
      </c>
      <c r="H229" s="112"/>
      <c r="I229" s="113"/>
    </row>
    <row r="230" spans="2:9" ht="12.75" hidden="1">
      <c r="B230" s="1">
        <v>170</v>
      </c>
      <c r="C230" s="107" t="s">
        <v>220</v>
      </c>
      <c r="D230" s="108" t="s">
        <v>10</v>
      </c>
      <c r="E230" s="109">
        <f t="shared" si="14"/>
        <v>0</v>
      </c>
      <c r="F230" s="110">
        <v>27</v>
      </c>
      <c r="G230" s="111">
        <f>E230*F230</f>
        <v>0</v>
      </c>
      <c r="H230" s="112"/>
      <c r="I230" s="113"/>
    </row>
    <row r="231" spans="2:9" ht="12.75" hidden="1">
      <c r="B231" s="1">
        <v>171</v>
      </c>
      <c r="C231" s="107" t="s">
        <v>221</v>
      </c>
      <c r="D231" s="108" t="s">
        <v>10</v>
      </c>
      <c r="E231" s="109">
        <f t="shared" si="14"/>
        <v>21</v>
      </c>
      <c r="F231" s="110">
        <v>37</v>
      </c>
      <c r="G231" s="111">
        <f>E231*F231</f>
        <v>777</v>
      </c>
      <c r="H231" s="112"/>
      <c r="I231" s="113"/>
    </row>
    <row r="232" spans="2:9" ht="12.75" hidden="1">
      <c r="B232" s="1">
        <v>172</v>
      </c>
      <c r="C232" s="107" t="s">
        <v>222</v>
      </c>
      <c r="D232" s="114" t="s">
        <v>10</v>
      </c>
      <c r="E232" s="109">
        <f t="shared" si="14"/>
        <v>0</v>
      </c>
      <c r="F232" s="110">
        <v>85</v>
      </c>
      <c r="G232" s="111">
        <f>F232*E232</f>
        <v>0</v>
      </c>
      <c r="H232" s="116"/>
      <c r="I232" s="113"/>
    </row>
    <row r="233" spans="2:9" ht="12.75" hidden="1">
      <c r="B233" s="1">
        <v>173</v>
      </c>
      <c r="C233" s="107" t="s">
        <v>223</v>
      </c>
      <c r="D233" s="127" t="s">
        <v>4</v>
      </c>
      <c r="E233" s="109">
        <f t="shared" si="14"/>
        <v>0</v>
      </c>
      <c r="F233" s="110">
        <v>38</v>
      </c>
      <c r="G233" s="111">
        <f>E233*F233</f>
        <v>0</v>
      </c>
      <c r="H233" s="112"/>
      <c r="I233" s="113"/>
    </row>
    <row r="234" spans="2:9" ht="12.75" hidden="1">
      <c r="B234" s="1">
        <v>174</v>
      </c>
      <c r="C234" s="107" t="s">
        <v>224</v>
      </c>
      <c r="D234" s="120" t="s">
        <v>19</v>
      </c>
      <c r="E234" s="109">
        <f t="shared" si="14"/>
        <v>52.92</v>
      </c>
      <c r="F234" s="110">
        <v>98</v>
      </c>
      <c r="G234" s="111">
        <f>E234*F234</f>
        <v>5186.16</v>
      </c>
      <c r="H234" s="112"/>
      <c r="I234" s="113"/>
    </row>
    <row r="235" spans="3:8" ht="12.75" hidden="1">
      <c r="C235" s="138" t="s">
        <v>225</v>
      </c>
      <c r="D235" s="127"/>
      <c r="E235" s="127"/>
      <c r="F235" s="129"/>
      <c r="G235" s="139">
        <f>SUM(G61:G234)</f>
        <v>79294.76793260805</v>
      </c>
      <c r="H235" s="29"/>
    </row>
    <row r="236" spans="3:8" ht="12.75" hidden="1">
      <c r="C236" s="1"/>
      <c r="D236" s="103"/>
      <c r="E236" s="103"/>
      <c r="G236" s="140"/>
      <c r="H236" s="1"/>
    </row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70" ht="12.75"/>
    <row r="371" ht="12.75"/>
    <row r="372" ht="12.75"/>
  </sheetData>
  <sheetProtection selectLockedCells="1" selectUnlockedCells="1"/>
  <printOptions/>
  <pageMargins left="0.25972222222222224" right="0.19027777777777777" top="0.1597222222222222" bottom="0.3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87"/>
  <sheetViews>
    <sheetView zoomScale="125" zoomScaleNormal="125" zoomScalePageLayoutView="0" workbookViewId="0" topLeftCell="A38">
      <selection activeCell="G53" sqref="G14:G53"/>
    </sheetView>
  </sheetViews>
  <sheetFormatPr defaultColWidth="9.125" defaultRowHeight="12.75"/>
  <cols>
    <col min="1" max="1" width="8.625" style="141" customWidth="1"/>
    <col min="2" max="2" width="100.875" style="141" bestFit="1" customWidth="1"/>
    <col min="3" max="7" width="20.875" style="141" customWidth="1"/>
    <col min="8" max="8" width="20.375" style="141" customWidth="1"/>
    <col min="9" max="9" width="27.125" style="141" customWidth="1"/>
    <col min="10" max="16384" width="9.125" style="141" customWidth="1"/>
  </cols>
  <sheetData>
    <row r="1" spans="1:239" s="144" customFormat="1" ht="27.75" customHeight="1">
      <c r="A1" s="142"/>
      <c r="B1" s="265" t="s">
        <v>355</v>
      </c>
      <c r="C1" s="265"/>
      <c r="D1" s="265"/>
      <c r="E1" s="265"/>
      <c r="F1" s="143"/>
      <c r="G1" s="143"/>
      <c r="H1" s="143"/>
      <c r="IA1" s="145"/>
      <c r="IB1" s="145"/>
      <c r="IC1" s="145"/>
      <c r="ID1" s="145"/>
      <c r="IE1" s="146"/>
    </row>
    <row r="2" spans="1:239" s="144" customFormat="1" ht="15.75">
      <c r="A2" s="147" t="s">
        <v>227</v>
      </c>
      <c r="B2" s="148" t="s">
        <v>228</v>
      </c>
      <c r="C2" s="148" t="s">
        <v>0</v>
      </c>
      <c r="D2" s="148" t="s">
        <v>229</v>
      </c>
      <c r="E2" s="149" t="s">
        <v>230</v>
      </c>
      <c r="F2" s="148" t="s">
        <v>231</v>
      </c>
      <c r="G2" s="148" t="s">
        <v>232</v>
      </c>
      <c r="H2" s="148" t="s">
        <v>233</v>
      </c>
      <c r="IA2" s="145"/>
      <c r="IB2" s="145"/>
      <c r="IC2" s="145"/>
      <c r="ID2" s="145"/>
      <c r="IE2" s="146"/>
    </row>
    <row r="3" spans="1:239" s="144" customFormat="1" ht="15.75">
      <c r="A3" s="150">
        <v>3</v>
      </c>
      <c r="B3" s="151" t="s">
        <v>351</v>
      </c>
      <c r="C3" s="152"/>
      <c r="D3" s="153"/>
      <c r="E3" s="154"/>
      <c r="F3" s="154"/>
      <c r="G3" s="154"/>
      <c r="H3" s="154"/>
      <c r="I3" s="143"/>
      <c r="IA3" s="145"/>
      <c r="IB3" s="145"/>
      <c r="IC3" s="145"/>
      <c r="ID3" s="145"/>
      <c r="IE3" s="146"/>
    </row>
    <row r="4" spans="1:239" s="144" customFormat="1" ht="15.75">
      <c r="A4" s="155"/>
      <c r="B4" s="156" t="s">
        <v>299</v>
      </c>
      <c r="C4" s="157">
        <v>126.1</v>
      </c>
      <c r="D4" s="158" t="s">
        <v>9</v>
      </c>
      <c r="E4" s="159"/>
      <c r="F4" s="159"/>
      <c r="G4" s="159"/>
      <c r="H4" s="159"/>
      <c r="I4" s="143"/>
      <c r="IA4" s="145"/>
      <c r="IB4" s="145"/>
      <c r="IC4" s="145"/>
      <c r="ID4" s="145"/>
      <c r="IE4" s="146"/>
    </row>
    <row r="5" spans="1:239" s="144" customFormat="1" ht="15.75">
      <c r="A5" s="147" t="s">
        <v>227</v>
      </c>
      <c r="B5" s="148" t="s">
        <v>228</v>
      </c>
      <c r="C5" s="148" t="s">
        <v>0</v>
      </c>
      <c r="D5" s="148" t="s">
        <v>239</v>
      </c>
      <c r="E5" s="149" t="s">
        <v>240</v>
      </c>
      <c r="F5" s="148" t="s">
        <v>231</v>
      </c>
      <c r="G5" s="148" t="s">
        <v>232</v>
      </c>
      <c r="H5" s="148" t="s">
        <v>233</v>
      </c>
      <c r="I5" s="143"/>
      <c r="IA5" s="145"/>
      <c r="IB5" s="145"/>
      <c r="IC5" s="145"/>
      <c r="ID5" s="145"/>
      <c r="IE5" s="146"/>
    </row>
    <row r="6" spans="1:239" s="144" customFormat="1" ht="15.75">
      <c r="A6" s="160">
        <f>SUBTOTAL(9,C4:C4)</f>
        <v>126.1</v>
      </c>
      <c r="B6" s="161" t="str">
        <f>$B$17</f>
        <v>Грунт глубокопроникающий Unigrund Unikem</v>
      </c>
      <c r="C6" s="162" t="str">
        <f>$C$17</f>
        <v>л</v>
      </c>
      <c r="D6" s="163">
        <f>$D$17</f>
        <v>1</v>
      </c>
      <c r="E6" s="163">
        <v>0.2</v>
      </c>
      <c r="F6" s="163">
        <f>A6*E6/D6</f>
        <v>25.22</v>
      </c>
      <c r="G6" s="164">
        <f>$G$17</f>
        <v>9.6</v>
      </c>
      <c r="H6" s="164">
        <f>G6*F6</f>
        <v>242.11199999999997</v>
      </c>
      <c r="I6" s="143" t="s">
        <v>51</v>
      </c>
      <c r="IA6" s="145"/>
      <c r="IB6" s="145"/>
      <c r="IC6" s="145"/>
      <c r="ID6" s="145"/>
      <c r="IE6" s="146"/>
    </row>
    <row r="7" spans="1:239" s="144" customFormat="1" ht="15.75">
      <c r="A7" s="216">
        <f>SUBTOTAL(9,C4:C4)</f>
        <v>126.1</v>
      </c>
      <c r="B7" s="165" t="str">
        <f>$B$26</f>
        <v>Клей для приклеивания пенополистирольных и минватных плит Dops ThermFix</v>
      </c>
      <c r="C7" s="166" t="str">
        <f>$C$26</f>
        <v>кг</v>
      </c>
      <c r="D7" s="163">
        <f>$D$26</f>
        <v>1</v>
      </c>
      <c r="E7" s="163">
        <v>6</v>
      </c>
      <c r="F7" s="163">
        <f>A7*E7/D7</f>
        <v>756.5999999999999</v>
      </c>
      <c r="G7" s="164">
        <f>$G$26</f>
        <v>3.48</v>
      </c>
      <c r="H7" s="164">
        <f>F7*G7</f>
        <v>2632.968</v>
      </c>
      <c r="I7" s="143" t="s">
        <v>51</v>
      </c>
      <c r="IA7" s="145"/>
      <c r="IB7" s="145"/>
      <c r="IC7" s="145"/>
      <c r="ID7" s="145"/>
      <c r="IE7" s="146"/>
    </row>
    <row r="8" spans="1:239" s="144" customFormat="1" ht="15.75">
      <c r="A8" s="160">
        <f>C4</f>
        <v>126.1</v>
      </c>
      <c r="B8" s="165" t="str">
        <f>$B$35</f>
        <v>Пенополистирол 25П d=100мм 16кг/м3 </v>
      </c>
      <c r="C8" s="166" t="str">
        <f>$C$35</f>
        <v>м2</v>
      </c>
      <c r="D8" s="163">
        <f>$D$35</f>
        <v>1</v>
      </c>
      <c r="E8" s="163">
        <v>1.05</v>
      </c>
      <c r="F8" s="163">
        <f>A8*E8/D8</f>
        <v>132.405</v>
      </c>
      <c r="G8" s="164">
        <f>$G$35</f>
        <v>115.3</v>
      </c>
      <c r="H8" s="164">
        <f>F8*G8</f>
        <v>15266.2965</v>
      </c>
      <c r="I8" s="143" t="s">
        <v>51</v>
      </c>
      <c r="IA8" s="145"/>
      <c r="IB8" s="145"/>
      <c r="IC8" s="145"/>
      <c r="ID8" s="145"/>
      <c r="IE8" s="146"/>
    </row>
    <row r="9" spans="1:239" s="144" customFormat="1" ht="15.75">
      <c r="A9" s="160">
        <f>SUBTOTAL(9,C4:C4)</f>
        <v>126.1</v>
      </c>
      <c r="B9" s="165" t="str">
        <f>$B$25</f>
        <v>Клей для армирования пеностирольных и минватных плит Dops MultiFix</v>
      </c>
      <c r="C9" s="166" t="str">
        <f>$C$25</f>
        <v>кг</v>
      </c>
      <c r="D9" s="163">
        <f>$D$25</f>
        <v>1</v>
      </c>
      <c r="E9" s="163">
        <v>2.5</v>
      </c>
      <c r="F9" s="163">
        <f>A9*E9/D9</f>
        <v>315.25</v>
      </c>
      <c r="G9" s="164">
        <f>$G$25</f>
        <v>4.6</v>
      </c>
      <c r="H9" s="164">
        <f>F9*G9</f>
        <v>1450.1499999999999</v>
      </c>
      <c r="I9" s="143" t="s">
        <v>51</v>
      </c>
      <c r="IA9" s="145"/>
      <c r="IB9" s="145"/>
      <c r="IC9" s="145"/>
      <c r="ID9" s="145"/>
      <c r="IE9" s="146"/>
    </row>
    <row r="10" spans="1:239" s="144" customFormat="1" ht="15.75">
      <c r="A10" s="170"/>
      <c r="B10" s="171" t="s">
        <v>241</v>
      </c>
      <c r="C10" s="170"/>
      <c r="D10" s="170"/>
      <c r="E10" s="172"/>
      <c r="F10" s="173"/>
      <c r="G10" s="173"/>
      <c r="H10" s="174">
        <f>SUM(H6:H9)</f>
        <v>19591.5265</v>
      </c>
      <c r="I10" s="143"/>
      <c r="IA10" s="145"/>
      <c r="IB10" s="145"/>
      <c r="IC10" s="145"/>
      <c r="ID10" s="145"/>
      <c r="IE10" s="146"/>
    </row>
    <row r="11" spans="1:239" s="144" customFormat="1" ht="15.75" customHeight="1">
      <c r="A11" s="150" t="s">
        <v>290</v>
      </c>
      <c r="B11" s="228" t="s">
        <v>11</v>
      </c>
      <c r="C11" s="228"/>
      <c r="D11" s="228"/>
      <c r="E11" s="228"/>
      <c r="F11" s="228"/>
      <c r="G11" s="175" t="s">
        <v>291</v>
      </c>
      <c r="H11" s="175" t="s">
        <v>233</v>
      </c>
      <c r="IA11" s="145"/>
      <c r="IB11" s="145"/>
      <c r="IC11" s="145"/>
      <c r="ID11" s="145"/>
      <c r="IE11" s="146"/>
    </row>
    <row r="12" spans="1:239" s="144" customFormat="1" ht="27">
      <c r="A12" s="193"/>
      <c r="B12" s="194" t="s">
        <v>356</v>
      </c>
      <c r="C12" s="199">
        <f>C4</f>
        <v>126.1</v>
      </c>
      <c r="D12" s="200"/>
      <c r="E12" s="200"/>
      <c r="F12" s="200"/>
      <c r="G12" s="218">
        <v>80</v>
      </c>
      <c r="H12" s="218">
        <f>G12*C12</f>
        <v>10088</v>
      </c>
      <c r="IA12" s="145"/>
      <c r="IB12" s="145"/>
      <c r="IC12" s="145"/>
      <c r="ID12" s="145"/>
      <c r="IE12" s="146"/>
    </row>
    <row r="13" spans="1:239" s="144" customFormat="1" ht="15.75">
      <c r="A13" s="150" t="s">
        <v>245</v>
      </c>
      <c r="B13" s="151" t="s">
        <v>246</v>
      </c>
      <c r="C13" s="151" t="s">
        <v>247</v>
      </c>
      <c r="D13" s="151" t="s">
        <v>229</v>
      </c>
      <c r="E13" s="151"/>
      <c r="F13" s="151" t="s">
        <v>248</v>
      </c>
      <c r="G13" s="175" t="s">
        <v>249</v>
      </c>
      <c r="H13" s="175" t="s">
        <v>233</v>
      </c>
      <c r="I13"/>
      <c r="IA13" s="145"/>
      <c r="IB13" s="145"/>
      <c r="IC13" s="145"/>
      <c r="ID13" s="145"/>
      <c r="IE13" s="146"/>
    </row>
    <row r="14" spans="1:239" s="144" customFormat="1" ht="15.75">
      <c r="A14" s="176">
        <v>1</v>
      </c>
      <c r="B14" s="177" t="s">
        <v>250</v>
      </c>
      <c r="C14" s="178" t="s">
        <v>251</v>
      </c>
      <c r="D14" s="179">
        <v>1</v>
      </c>
      <c r="E14" s="179"/>
      <c r="F14" s="179">
        <f aca="true" t="shared" si="0" ref="F14:F53">SUMIF($B$3:$B$10,$B14,$F$3:$F$10)</f>
        <v>0</v>
      </c>
      <c r="G14" s="181">
        <v>96</v>
      </c>
      <c r="H14" s="181">
        <f aca="true" t="shared" si="1" ref="H14:H53">F14*G14</f>
        <v>0</v>
      </c>
      <c r="I14" s="146"/>
      <c r="IA14" s="145"/>
      <c r="IB14" s="145"/>
      <c r="IC14" s="145"/>
      <c r="ID14" s="145"/>
      <c r="IE14" s="146"/>
    </row>
    <row r="15" spans="1:239" s="144" customFormat="1" ht="15.75">
      <c r="A15" s="176">
        <v>2</v>
      </c>
      <c r="B15" s="177" t="s">
        <v>252</v>
      </c>
      <c r="C15" s="182" t="s">
        <v>4</v>
      </c>
      <c r="D15" s="180">
        <v>1</v>
      </c>
      <c r="E15" s="180"/>
      <c r="F15" s="180">
        <f t="shared" si="0"/>
        <v>0</v>
      </c>
      <c r="G15" s="183">
        <f>1198/28</f>
        <v>42.785714285714285</v>
      </c>
      <c r="H15" s="183">
        <f t="shared" si="1"/>
        <v>0</v>
      </c>
      <c r="I15" s="146"/>
      <c r="IA15" s="145"/>
      <c r="IB15" s="145"/>
      <c r="IC15" s="145"/>
      <c r="ID15" s="145"/>
      <c r="IE15" s="146"/>
    </row>
    <row r="16" spans="1:239" s="144" customFormat="1" ht="15.75">
      <c r="A16" s="176">
        <v>3</v>
      </c>
      <c r="B16" s="177" t="s">
        <v>253</v>
      </c>
      <c r="C16" s="178" t="s">
        <v>4</v>
      </c>
      <c r="D16" s="180">
        <v>1</v>
      </c>
      <c r="E16" s="180"/>
      <c r="F16" s="180">
        <f t="shared" si="0"/>
        <v>0</v>
      </c>
      <c r="G16" s="183">
        <f>850/25</f>
        <v>34</v>
      </c>
      <c r="H16" s="183">
        <f t="shared" si="1"/>
        <v>0</v>
      </c>
      <c r="I16" s="146"/>
      <c r="IA16" s="145"/>
      <c r="IB16" s="145"/>
      <c r="IC16" s="145"/>
      <c r="ID16" s="145"/>
      <c r="IE16" s="146"/>
    </row>
    <row r="17" spans="1:239" s="144" customFormat="1" ht="15.75">
      <c r="A17" s="176">
        <v>4</v>
      </c>
      <c r="B17" s="177" t="s">
        <v>254</v>
      </c>
      <c r="C17" s="184" t="s">
        <v>12</v>
      </c>
      <c r="D17" s="179">
        <v>1</v>
      </c>
      <c r="E17" s="179"/>
      <c r="F17" s="179">
        <f t="shared" si="0"/>
        <v>25.22</v>
      </c>
      <c r="G17" s="181">
        <f>96/10</f>
        <v>9.6</v>
      </c>
      <c r="H17" s="181">
        <f t="shared" si="1"/>
        <v>242.11199999999997</v>
      </c>
      <c r="I17" s="146"/>
      <c r="IA17" s="145"/>
      <c r="IB17" s="145"/>
      <c r="IC17" s="145"/>
      <c r="ID17" s="145"/>
      <c r="IE17" s="146"/>
    </row>
    <row r="18" spans="1:239" s="144" customFormat="1" ht="15.75">
      <c r="A18" s="176">
        <v>5</v>
      </c>
      <c r="B18" s="177" t="s">
        <v>255</v>
      </c>
      <c r="C18" s="178" t="s">
        <v>10</v>
      </c>
      <c r="D18" s="180">
        <v>1</v>
      </c>
      <c r="E18" s="180"/>
      <c r="F18" s="180">
        <f t="shared" si="0"/>
        <v>0</v>
      </c>
      <c r="G18" s="183">
        <v>3.1</v>
      </c>
      <c r="H18" s="183">
        <f t="shared" si="1"/>
        <v>0</v>
      </c>
      <c r="I18" s="146"/>
      <c r="IA18" s="145"/>
      <c r="IB18" s="145"/>
      <c r="IC18" s="145"/>
      <c r="ID18" s="145"/>
      <c r="IE18" s="146"/>
    </row>
    <row r="19" spans="1:239" s="144" customFormat="1" ht="15.75">
      <c r="A19" s="176">
        <v>6</v>
      </c>
      <c r="B19" s="177" t="s">
        <v>256</v>
      </c>
      <c r="C19" s="178" t="s">
        <v>10</v>
      </c>
      <c r="D19" s="180">
        <v>1</v>
      </c>
      <c r="E19" s="180"/>
      <c r="F19" s="180">
        <f t="shared" si="0"/>
        <v>0</v>
      </c>
      <c r="G19" s="183">
        <v>0.9</v>
      </c>
      <c r="H19" s="183">
        <f t="shared" si="1"/>
        <v>0</v>
      </c>
      <c r="I19" s="146"/>
      <c r="IA19" s="145"/>
      <c r="IB19" s="145"/>
      <c r="IC19" s="145"/>
      <c r="ID19" s="145"/>
      <c r="IE19" s="146"/>
    </row>
    <row r="20" spans="1:239" s="144" customFormat="1" ht="15.75">
      <c r="A20" s="176">
        <v>7</v>
      </c>
      <c r="B20" s="177" t="s">
        <v>257</v>
      </c>
      <c r="C20" s="178" t="s">
        <v>10</v>
      </c>
      <c r="D20" s="180">
        <v>1</v>
      </c>
      <c r="E20" s="180"/>
      <c r="F20" s="180">
        <f t="shared" si="0"/>
        <v>0</v>
      </c>
      <c r="G20" s="183">
        <v>3.1</v>
      </c>
      <c r="H20" s="183">
        <f t="shared" si="1"/>
        <v>0</v>
      </c>
      <c r="I20" s="146"/>
      <c r="IA20" s="145"/>
      <c r="IB20" s="145"/>
      <c r="IC20" s="145"/>
      <c r="ID20" s="145"/>
      <c r="IE20" s="146"/>
    </row>
    <row r="21" spans="1:239" s="144" customFormat="1" ht="15.75">
      <c r="A21" s="176">
        <v>8</v>
      </c>
      <c r="B21" s="177" t="s">
        <v>258</v>
      </c>
      <c r="C21" s="178" t="s">
        <v>10</v>
      </c>
      <c r="D21" s="179">
        <v>1</v>
      </c>
      <c r="E21" s="179"/>
      <c r="F21" s="179">
        <f t="shared" si="0"/>
        <v>0</v>
      </c>
      <c r="G21" s="181">
        <v>1.4</v>
      </c>
      <c r="H21" s="181">
        <f t="shared" si="1"/>
        <v>0</v>
      </c>
      <c r="I21" s="146"/>
      <c r="IA21" s="145"/>
      <c r="IB21" s="145"/>
      <c r="IC21" s="145"/>
      <c r="ID21" s="145"/>
      <c r="IE21" s="146"/>
    </row>
    <row r="22" spans="1:239" s="144" customFormat="1" ht="15.75">
      <c r="A22" s="176">
        <v>9</v>
      </c>
      <c r="B22" s="177" t="s">
        <v>259</v>
      </c>
      <c r="C22" s="178" t="s">
        <v>10</v>
      </c>
      <c r="D22" s="179">
        <v>1</v>
      </c>
      <c r="E22" s="179"/>
      <c r="F22" s="179">
        <f t="shared" si="0"/>
        <v>0</v>
      </c>
      <c r="G22" s="181">
        <v>10</v>
      </c>
      <c r="H22" s="181">
        <f t="shared" si="1"/>
        <v>0</v>
      </c>
      <c r="I22" s="146"/>
      <c r="IA22" s="145"/>
      <c r="IB22" s="145"/>
      <c r="IC22" s="145"/>
      <c r="ID22" s="145"/>
      <c r="IE22" s="146"/>
    </row>
    <row r="23" spans="1:239" s="144" customFormat="1" ht="15.75">
      <c r="A23" s="176">
        <v>10</v>
      </c>
      <c r="B23" s="177" t="s">
        <v>260</v>
      </c>
      <c r="C23" s="182" t="s">
        <v>4</v>
      </c>
      <c r="D23" s="179">
        <v>1</v>
      </c>
      <c r="E23" s="179"/>
      <c r="F23" s="179">
        <f t="shared" si="0"/>
        <v>0</v>
      </c>
      <c r="G23" s="181">
        <v>25</v>
      </c>
      <c r="H23" s="181">
        <f t="shared" si="1"/>
        <v>0</v>
      </c>
      <c r="I23" s="146"/>
      <c r="IA23" s="145"/>
      <c r="IB23" s="145"/>
      <c r="IC23" s="145"/>
      <c r="ID23" s="145"/>
      <c r="IE23" s="146"/>
    </row>
    <row r="24" spans="1:239" s="144" customFormat="1" ht="15.75">
      <c r="A24" s="176">
        <v>11</v>
      </c>
      <c r="B24" s="177" t="s">
        <v>261</v>
      </c>
      <c r="C24" s="182" t="s">
        <v>19</v>
      </c>
      <c r="D24" s="179">
        <v>1</v>
      </c>
      <c r="E24" s="179"/>
      <c r="F24" s="179">
        <f t="shared" si="0"/>
        <v>0</v>
      </c>
      <c r="G24" s="181">
        <v>26.94</v>
      </c>
      <c r="H24" s="181">
        <f t="shared" si="1"/>
        <v>0</v>
      </c>
      <c r="I24" s="146"/>
      <c r="IA24" s="145"/>
      <c r="IB24" s="145"/>
      <c r="IC24" s="145"/>
      <c r="ID24" s="145"/>
      <c r="IE24" s="146"/>
    </row>
    <row r="25" spans="1:239" s="144" customFormat="1" ht="22.5" customHeight="1">
      <c r="A25" s="176">
        <v>12</v>
      </c>
      <c r="B25" s="177" t="s">
        <v>262</v>
      </c>
      <c r="C25" s="178" t="s">
        <v>4</v>
      </c>
      <c r="D25" s="179">
        <v>1</v>
      </c>
      <c r="E25" s="179"/>
      <c r="F25" s="179">
        <f t="shared" si="0"/>
        <v>315.25</v>
      </c>
      <c r="G25" s="185">
        <f>115/25</f>
        <v>4.6</v>
      </c>
      <c r="H25" s="181">
        <f t="shared" si="1"/>
        <v>1450.1499999999999</v>
      </c>
      <c r="I25" s="146"/>
      <c r="IA25" s="145"/>
      <c r="IB25" s="145"/>
      <c r="IC25" s="145"/>
      <c r="ID25" s="145"/>
      <c r="IE25" s="146"/>
    </row>
    <row r="26" spans="1:239" s="144" customFormat="1" ht="15.75">
      <c r="A26" s="176">
        <v>13</v>
      </c>
      <c r="B26" s="177" t="s">
        <v>263</v>
      </c>
      <c r="C26" s="178" t="s">
        <v>4</v>
      </c>
      <c r="D26" s="179">
        <v>1</v>
      </c>
      <c r="E26" s="179"/>
      <c r="F26" s="179">
        <f t="shared" si="0"/>
        <v>756.5999999999999</v>
      </c>
      <c r="G26" s="185">
        <f>87/25</f>
        <v>3.48</v>
      </c>
      <c r="H26" s="181">
        <f t="shared" si="1"/>
        <v>2632.968</v>
      </c>
      <c r="I26" s="146"/>
      <c r="IA26" s="145"/>
      <c r="IB26" s="145"/>
      <c r="IC26" s="145"/>
      <c r="ID26" s="145"/>
      <c r="IE26" s="146"/>
    </row>
    <row r="27" spans="1:239" s="144" customFormat="1" ht="15.75">
      <c r="A27" s="176">
        <v>14</v>
      </c>
      <c r="B27" s="177" t="s">
        <v>264</v>
      </c>
      <c r="C27" s="178" t="s">
        <v>4</v>
      </c>
      <c r="D27" s="179">
        <v>1</v>
      </c>
      <c r="E27" s="179"/>
      <c r="F27" s="179">
        <f t="shared" si="0"/>
        <v>0</v>
      </c>
      <c r="G27" s="185">
        <f>129/25</f>
        <v>5.16</v>
      </c>
      <c r="H27" s="181">
        <f t="shared" si="1"/>
        <v>0</v>
      </c>
      <c r="I27" s="146"/>
      <c r="IA27" s="145"/>
      <c r="IB27" s="145"/>
      <c r="IC27" s="145"/>
      <c r="ID27" s="145"/>
      <c r="IE27" s="146"/>
    </row>
    <row r="28" spans="1:239" s="144" customFormat="1" ht="15.75">
      <c r="A28" s="176">
        <v>15</v>
      </c>
      <c r="B28" s="177" t="s">
        <v>265</v>
      </c>
      <c r="C28" s="178" t="s">
        <v>12</v>
      </c>
      <c r="D28" s="179">
        <v>1</v>
      </c>
      <c r="E28" s="179"/>
      <c r="F28" s="179">
        <f t="shared" si="0"/>
        <v>0</v>
      </c>
      <c r="G28" s="185">
        <v>170</v>
      </c>
      <c r="H28" s="181">
        <f t="shared" si="1"/>
        <v>0</v>
      </c>
      <c r="I28" s="146"/>
      <c r="IA28" s="145"/>
      <c r="IB28" s="145"/>
      <c r="IC28" s="145"/>
      <c r="ID28" s="145"/>
      <c r="IE28" s="146"/>
    </row>
    <row r="29" spans="1:239" s="144" customFormat="1" ht="15.75">
      <c r="A29" s="176">
        <v>16</v>
      </c>
      <c r="B29" s="177" t="s">
        <v>266</v>
      </c>
      <c r="C29" s="178" t="s">
        <v>4</v>
      </c>
      <c r="D29" s="179">
        <v>1</v>
      </c>
      <c r="E29" s="179"/>
      <c r="F29" s="179">
        <f t="shared" si="0"/>
        <v>0</v>
      </c>
      <c r="G29" s="181">
        <v>48</v>
      </c>
      <c r="H29" s="181">
        <f t="shared" si="1"/>
        <v>0</v>
      </c>
      <c r="I29" s="146"/>
      <c r="IA29" s="145"/>
      <c r="IB29" s="145"/>
      <c r="IC29" s="145"/>
      <c r="ID29" s="145"/>
      <c r="IE29" s="146"/>
    </row>
    <row r="30" spans="1:239" s="144" customFormat="1" ht="15.75">
      <c r="A30" s="176">
        <v>17</v>
      </c>
      <c r="B30" s="177" t="s">
        <v>267</v>
      </c>
      <c r="C30" s="178" t="s">
        <v>9</v>
      </c>
      <c r="D30" s="180">
        <v>1</v>
      </c>
      <c r="E30" s="180"/>
      <c r="F30" s="180">
        <f t="shared" si="0"/>
        <v>0</v>
      </c>
      <c r="G30" s="183">
        <f>115.3*0.3</f>
        <v>34.589999999999996</v>
      </c>
      <c r="H30" s="183">
        <f t="shared" si="1"/>
        <v>0</v>
      </c>
      <c r="I30" s="146"/>
      <c r="IA30" s="145"/>
      <c r="IB30" s="145"/>
      <c r="IC30" s="145"/>
      <c r="ID30" s="145"/>
      <c r="IE30" s="146"/>
    </row>
    <row r="31" spans="1:239" s="144" customFormat="1" ht="15.75">
      <c r="A31" s="176">
        <v>18</v>
      </c>
      <c r="B31" s="177" t="s">
        <v>268</v>
      </c>
      <c r="C31" s="178" t="s">
        <v>9</v>
      </c>
      <c r="D31" s="180">
        <v>1</v>
      </c>
      <c r="E31" s="180"/>
      <c r="F31" s="180">
        <f t="shared" si="0"/>
        <v>0</v>
      </c>
      <c r="G31" s="183">
        <f>115.3*0.4</f>
        <v>46.120000000000005</v>
      </c>
      <c r="H31" s="183">
        <f t="shared" si="1"/>
        <v>0</v>
      </c>
      <c r="I31" s="146"/>
      <c r="IA31" s="145"/>
      <c r="IB31" s="145"/>
      <c r="IC31" s="145"/>
      <c r="ID31" s="145"/>
      <c r="IE31" s="146"/>
    </row>
    <row r="32" spans="1:239" s="144" customFormat="1" ht="15.75">
      <c r="A32" s="176">
        <v>19</v>
      </c>
      <c r="B32" s="177" t="s">
        <v>269</v>
      </c>
      <c r="C32" s="178" t="s">
        <v>9</v>
      </c>
      <c r="D32" s="179">
        <v>1</v>
      </c>
      <c r="E32" s="179"/>
      <c r="F32" s="179">
        <f t="shared" si="0"/>
        <v>0</v>
      </c>
      <c r="G32" s="181">
        <f>115.3*0.5</f>
        <v>57.65</v>
      </c>
      <c r="H32" s="181">
        <f t="shared" si="1"/>
        <v>0</v>
      </c>
      <c r="I32" s="146"/>
      <c r="IA32" s="145"/>
      <c r="IB32" s="145"/>
      <c r="IC32" s="145"/>
      <c r="ID32" s="145"/>
      <c r="IE32" s="146"/>
    </row>
    <row r="33" spans="1:239" s="144" customFormat="1" ht="15.75">
      <c r="A33" s="176">
        <v>20</v>
      </c>
      <c r="B33" s="177" t="s">
        <v>270</v>
      </c>
      <c r="C33" s="182" t="s">
        <v>9</v>
      </c>
      <c r="D33" s="179">
        <v>1</v>
      </c>
      <c r="E33" s="179"/>
      <c r="F33" s="179">
        <f t="shared" si="0"/>
        <v>0</v>
      </c>
      <c r="G33" s="181">
        <f>115.3*0.6</f>
        <v>69.17999999999999</v>
      </c>
      <c r="H33" s="181">
        <f t="shared" si="1"/>
        <v>0</v>
      </c>
      <c r="I33" s="146"/>
      <c r="IA33" s="145"/>
      <c r="IB33" s="145"/>
      <c r="IC33" s="145"/>
      <c r="ID33" s="145"/>
      <c r="IE33" s="146"/>
    </row>
    <row r="34" spans="1:239" s="144" customFormat="1" ht="15.75">
      <c r="A34" s="176">
        <v>21</v>
      </c>
      <c r="B34" s="177" t="s">
        <v>348</v>
      </c>
      <c r="C34" s="182" t="s">
        <v>9</v>
      </c>
      <c r="D34" s="179">
        <v>1</v>
      </c>
      <c r="E34" s="179"/>
      <c r="F34" s="179">
        <f t="shared" si="0"/>
        <v>0</v>
      </c>
      <c r="G34" s="181">
        <f>115.3*0.8</f>
        <v>92.24000000000001</v>
      </c>
      <c r="H34" s="181">
        <f t="shared" si="1"/>
        <v>0</v>
      </c>
      <c r="I34" s="146"/>
      <c r="IA34" s="145"/>
      <c r="IB34" s="145"/>
      <c r="IC34" s="145"/>
      <c r="ID34" s="145"/>
      <c r="IE34" s="146"/>
    </row>
    <row r="35" spans="1:239" s="144" customFormat="1" ht="15.75">
      <c r="A35" s="176">
        <v>22</v>
      </c>
      <c r="B35" s="177" t="s">
        <v>271</v>
      </c>
      <c r="C35" s="178" t="s">
        <v>9</v>
      </c>
      <c r="D35" s="179">
        <v>1</v>
      </c>
      <c r="E35" s="179"/>
      <c r="F35" s="179">
        <f t="shared" si="0"/>
        <v>132.405</v>
      </c>
      <c r="G35" s="181">
        <v>115.3</v>
      </c>
      <c r="H35" s="181">
        <f t="shared" si="1"/>
        <v>15266.2965</v>
      </c>
      <c r="I35" s="146"/>
      <c r="IA35" s="145"/>
      <c r="IB35" s="145"/>
      <c r="IC35" s="145"/>
      <c r="ID35" s="145"/>
      <c r="IE35" s="146"/>
    </row>
    <row r="36" spans="1:239" s="144" customFormat="1" ht="15.75">
      <c r="A36" s="176">
        <v>23</v>
      </c>
      <c r="B36" s="177" t="s">
        <v>349</v>
      </c>
      <c r="C36" s="178" t="s">
        <v>9</v>
      </c>
      <c r="D36" s="179">
        <v>1</v>
      </c>
      <c r="E36" s="179"/>
      <c r="F36" s="179">
        <f t="shared" si="0"/>
        <v>0</v>
      </c>
      <c r="G36" s="181">
        <f>115.3*1.2</f>
        <v>138.35999999999999</v>
      </c>
      <c r="H36" s="181">
        <f t="shared" si="1"/>
        <v>0</v>
      </c>
      <c r="I36" s="146"/>
      <c r="IA36" s="145"/>
      <c r="IB36" s="145"/>
      <c r="IC36" s="145"/>
      <c r="ID36" s="145"/>
      <c r="IE36" s="146"/>
    </row>
    <row r="37" spans="1:239" s="144" customFormat="1" ht="15.75">
      <c r="A37" s="176">
        <v>24</v>
      </c>
      <c r="B37" s="177" t="s">
        <v>350</v>
      </c>
      <c r="C37" s="178" t="s">
        <v>9</v>
      </c>
      <c r="D37" s="179">
        <v>1</v>
      </c>
      <c r="E37" s="179"/>
      <c r="F37" s="179">
        <f t="shared" si="0"/>
        <v>0</v>
      </c>
      <c r="G37" s="181">
        <f>115.3*1.4</f>
        <v>161.42</v>
      </c>
      <c r="H37" s="181">
        <f t="shared" si="1"/>
        <v>0</v>
      </c>
      <c r="I37" s="146"/>
      <c r="IA37" s="145"/>
      <c r="IB37" s="145"/>
      <c r="IC37" s="145"/>
      <c r="ID37" s="145"/>
      <c r="IE37" s="146"/>
    </row>
    <row r="38" spans="1:239" s="144" customFormat="1" ht="15.75">
      <c r="A38" s="176">
        <v>25</v>
      </c>
      <c r="B38" s="177" t="s">
        <v>272</v>
      </c>
      <c r="C38" s="178" t="s">
        <v>1</v>
      </c>
      <c r="D38" s="179">
        <v>1</v>
      </c>
      <c r="E38" s="179"/>
      <c r="F38" s="179">
        <f t="shared" si="0"/>
        <v>0</v>
      </c>
      <c r="G38" s="181">
        <v>1153</v>
      </c>
      <c r="H38" s="181">
        <f t="shared" si="1"/>
        <v>0</v>
      </c>
      <c r="I38" s="146"/>
      <c r="IA38" s="145"/>
      <c r="IB38" s="145"/>
      <c r="IC38" s="145"/>
      <c r="ID38" s="145"/>
      <c r="IE38" s="146"/>
    </row>
    <row r="39" spans="1:239" s="144" customFormat="1" ht="15.75">
      <c r="A39" s="176">
        <v>26</v>
      </c>
      <c r="B39" s="177" t="s">
        <v>273</v>
      </c>
      <c r="C39" s="178" t="s">
        <v>9</v>
      </c>
      <c r="D39" s="179">
        <v>1</v>
      </c>
      <c r="E39" s="179"/>
      <c r="F39" s="179">
        <f t="shared" si="0"/>
        <v>0</v>
      </c>
      <c r="G39" s="181">
        <v>118</v>
      </c>
      <c r="H39" s="181">
        <f t="shared" si="1"/>
        <v>0</v>
      </c>
      <c r="I39" s="146"/>
      <c r="IA39" s="145"/>
      <c r="IB39" s="145"/>
      <c r="IC39" s="145"/>
      <c r="ID39" s="145"/>
      <c r="IE39" s="146"/>
    </row>
    <row r="40" spans="1:239" s="144" customFormat="1" ht="15.75">
      <c r="A40" s="176">
        <v>27</v>
      </c>
      <c r="B40" s="177" t="s">
        <v>274</v>
      </c>
      <c r="C40" s="182" t="s">
        <v>169</v>
      </c>
      <c r="D40" s="179">
        <v>1</v>
      </c>
      <c r="E40" s="179"/>
      <c r="F40" s="179">
        <f t="shared" si="0"/>
        <v>0</v>
      </c>
      <c r="G40" s="181">
        <v>110</v>
      </c>
      <c r="H40" s="181">
        <f t="shared" si="1"/>
        <v>0</v>
      </c>
      <c r="I40" s="146"/>
      <c r="IA40" s="145"/>
      <c r="IB40" s="145"/>
      <c r="IC40" s="145"/>
      <c r="ID40" s="145"/>
      <c r="IE40" s="146"/>
    </row>
    <row r="41" spans="1:239" s="144" customFormat="1" ht="15.75">
      <c r="A41" s="176">
        <v>28</v>
      </c>
      <c r="B41" s="177" t="s">
        <v>275</v>
      </c>
      <c r="C41" s="182" t="s">
        <v>9</v>
      </c>
      <c r="D41" s="180">
        <v>1</v>
      </c>
      <c r="E41" s="180"/>
      <c r="F41" s="180">
        <f t="shared" si="0"/>
        <v>0</v>
      </c>
      <c r="G41" s="183">
        <v>600</v>
      </c>
      <c r="H41" s="183">
        <f t="shared" si="1"/>
        <v>0</v>
      </c>
      <c r="I41" s="146"/>
      <c r="IA41" s="145"/>
      <c r="IB41" s="145"/>
      <c r="IC41" s="145"/>
      <c r="ID41" s="145"/>
      <c r="IE41" s="146"/>
    </row>
    <row r="42" spans="1:239" s="144" customFormat="1" ht="15.75">
      <c r="A42" s="176">
        <v>29</v>
      </c>
      <c r="B42" s="177" t="s">
        <v>276</v>
      </c>
      <c r="C42" s="182" t="s">
        <v>12</v>
      </c>
      <c r="D42" s="179">
        <v>1</v>
      </c>
      <c r="E42" s="179"/>
      <c r="F42" s="179">
        <f t="shared" si="0"/>
        <v>0</v>
      </c>
      <c r="G42" s="181">
        <v>27.17</v>
      </c>
      <c r="H42" s="181">
        <f t="shared" si="1"/>
        <v>0</v>
      </c>
      <c r="I42" s="146"/>
      <c r="IA42" s="145"/>
      <c r="IB42" s="145"/>
      <c r="IC42" s="145"/>
      <c r="ID42" s="145"/>
      <c r="IE42" s="146"/>
    </row>
    <row r="43" spans="1:239" s="144" customFormat="1" ht="15.75">
      <c r="A43" s="176">
        <v>30</v>
      </c>
      <c r="B43" s="177" t="s">
        <v>277</v>
      </c>
      <c r="C43" s="182" t="s">
        <v>9</v>
      </c>
      <c r="D43" s="179">
        <v>1</v>
      </c>
      <c r="E43" s="179"/>
      <c r="F43" s="179">
        <f t="shared" si="0"/>
        <v>0</v>
      </c>
      <c r="G43" s="181">
        <v>150</v>
      </c>
      <c r="H43" s="181">
        <f t="shared" si="1"/>
        <v>0</v>
      </c>
      <c r="I43" s="146"/>
      <c r="IA43" s="145"/>
      <c r="IB43" s="145"/>
      <c r="IC43" s="145"/>
      <c r="ID43" s="145"/>
      <c r="IE43" s="146"/>
    </row>
    <row r="44" spans="1:239" s="144" customFormat="1" ht="15.75">
      <c r="A44" s="176">
        <v>31</v>
      </c>
      <c r="B44" s="177" t="s">
        <v>278</v>
      </c>
      <c r="C44" s="178" t="s">
        <v>2</v>
      </c>
      <c r="D44" s="180">
        <v>1</v>
      </c>
      <c r="E44" s="180"/>
      <c r="F44" s="180">
        <f t="shared" si="0"/>
        <v>0</v>
      </c>
      <c r="G44" s="186">
        <v>34.17</v>
      </c>
      <c r="H44" s="183">
        <f t="shared" si="1"/>
        <v>0</v>
      </c>
      <c r="I44" s="146"/>
      <c r="IA44" s="145"/>
      <c r="IB44" s="145"/>
      <c r="IC44" s="145"/>
      <c r="ID44" s="145"/>
      <c r="IE44" s="146"/>
    </row>
    <row r="45" spans="1:239" s="144" customFormat="1" ht="30">
      <c r="A45" s="176">
        <v>32</v>
      </c>
      <c r="B45" s="177" t="s">
        <v>279</v>
      </c>
      <c r="C45" s="178" t="s">
        <v>9</v>
      </c>
      <c r="D45" s="179">
        <v>1</v>
      </c>
      <c r="E45" s="179"/>
      <c r="F45" s="179">
        <f t="shared" si="0"/>
        <v>0</v>
      </c>
      <c r="G45" s="185">
        <v>27</v>
      </c>
      <c r="H45" s="181">
        <f t="shared" si="1"/>
        <v>0</v>
      </c>
      <c r="I45" s="146"/>
      <c r="IA45" s="145"/>
      <c r="IB45" s="145"/>
      <c r="IC45" s="145"/>
      <c r="ID45" s="145"/>
      <c r="IE45" s="146"/>
    </row>
    <row r="46" spans="1:239" s="144" customFormat="1" ht="15.75">
      <c r="A46" s="176">
        <v>33</v>
      </c>
      <c r="B46" s="177" t="s">
        <v>280</v>
      </c>
      <c r="C46" s="178" t="s">
        <v>9</v>
      </c>
      <c r="D46" s="179">
        <v>1</v>
      </c>
      <c r="E46" s="179"/>
      <c r="F46" s="179">
        <f t="shared" si="0"/>
        <v>0</v>
      </c>
      <c r="G46" s="185">
        <f>680/50</f>
        <v>13.6</v>
      </c>
      <c r="H46" s="181">
        <f t="shared" si="1"/>
        <v>0</v>
      </c>
      <c r="I46" s="146"/>
      <c r="IA46" s="145"/>
      <c r="IB46" s="145"/>
      <c r="IC46" s="145"/>
      <c r="ID46" s="145"/>
      <c r="IE46" s="146"/>
    </row>
    <row r="47" spans="1:239" s="144" customFormat="1" ht="15.75">
      <c r="A47" s="176">
        <v>34</v>
      </c>
      <c r="B47" s="177" t="s">
        <v>281</v>
      </c>
      <c r="C47" s="182" t="s">
        <v>9</v>
      </c>
      <c r="D47" s="179">
        <v>1</v>
      </c>
      <c r="E47" s="179"/>
      <c r="F47" s="179">
        <f t="shared" si="0"/>
        <v>0</v>
      </c>
      <c r="G47" s="181">
        <f>460/50</f>
        <v>9.2</v>
      </c>
      <c r="H47" s="181">
        <f t="shared" si="1"/>
        <v>0</v>
      </c>
      <c r="I47" s="146"/>
      <c r="IA47" s="145"/>
      <c r="IB47" s="145"/>
      <c r="IC47" s="145"/>
      <c r="ID47" s="145"/>
      <c r="IE47" s="146"/>
    </row>
    <row r="48" spans="1:239" s="144" customFormat="1" ht="15.75">
      <c r="A48" s="176">
        <v>35</v>
      </c>
      <c r="B48" s="177" t="s">
        <v>282</v>
      </c>
      <c r="C48" s="178" t="s">
        <v>2</v>
      </c>
      <c r="D48" s="179">
        <v>1</v>
      </c>
      <c r="E48" s="179"/>
      <c r="F48" s="179">
        <f t="shared" si="0"/>
        <v>0</v>
      </c>
      <c r="G48" s="181">
        <f>6.8/3</f>
        <v>2.2666666666666666</v>
      </c>
      <c r="H48" s="181">
        <f t="shared" si="1"/>
        <v>0</v>
      </c>
      <c r="I48" s="146"/>
      <c r="IA48" s="145"/>
      <c r="IB48" s="145"/>
      <c r="IC48" s="145"/>
      <c r="ID48" s="145"/>
      <c r="IE48" s="146"/>
    </row>
    <row r="49" spans="1:239" s="144" customFormat="1" ht="15.75">
      <c r="A49" s="176">
        <v>36</v>
      </c>
      <c r="B49" s="177" t="s">
        <v>283</v>
      </c>
      <c r="C49" s="178" t="s">
        <v>2</v>
      </c>
      <c r="D49" s="180">
        <v>1</v>
      </c>
      <c r="E49" s="180"/>
      <c r="F49" s="180">
        <f t="shared" si="0"/>
        <v>0</v>
      </c>
      <c r="G49" s="186">
        <f>25/2.6</f>
        <v>9.615384615384615</v>
      </c>
      <c r="H49" s="183">
        <f t="shared" si="1"/>
        <v>0</v>
      </c>
      <c r="I49" s="146"/>
      <c r="IA49" s="145"/>
      <c r="IB49" s="145"/>
      <c r="IC49" s="145"/>
      <c r="ID49" s="145"/>
      <c r="IE49" s="146"/>
    </row>
    <row r="50" spans="1:239" s="144" customFormat="1" ht="15.75">
      <c r="A50" s="176">
        <v>37</v>
      </c>
      <c r="B50" s="177" t="s">
        <v>208</v>
      </c>
      <c r="C50" s="184" t="s">
        <v>169</v>
      </c>
      <c r="D50" s="179">
        <v>1</v>
      </c>
      <c r="E50" s="179"/>
      <c r="F50" s="179">
        <f t="shared" si="0"/>
        <v>0</v>
      </c>
      <c r="G50" s="181">
        <v>2200</v>
      </c>
      <c r="H50" s="181">
        <f t="shared" si="1"/>
        <v>0</v>
      </c>
      <c r="I50" s="146"/>
      <c r="IA50" s="145"/>
      <c r="IB50" s="145"/>
      <c r="IC50" s="145"/>
      <c r="ID50" s="145"/>
      <c r="IE50" s="146"/>
    </row>
    <row r="51" spans="1:239" s="144" customFormat="1" ht="15.75">
      <c r="A51" s="176">
        <v>38</v>
      </c>
      <c r="B51" s="177" t="s">
        <v>284</v>
      </c>
      <c r="C51" s="178" t="s">
        <v>4</v>
      </c>
      <c r="D51" s="179">
        <v>1</v>
      </c>
      <c r="E51" s="179"/>
      <c r="F51" s="179">
        <f t="shared" si="0"/>
        <v>0</v>
      </c>
      <c r="G51" s="185">
        <f>1400/25</f>
        <v>56</v>
      </c>
      <c r="H51" s="181">
        <f t="shared" si="1"/>
        <v>0</v>
      </c>
      <c r="I51" s="146"/>
      <c r="IA51" s="145"/>
      <c r="IB51" s="145"/>
      <c r="IC51" s="145"/>
      <c r="ID51" s="145"/>
      <c r="IE51" s="146"/>
    </row>
    <row r="52" spans="1:239" s="144" customFormat="1" ht="15.75">
      <c r="A52" s="176">
        <v>39</v>
      </c>
      <c r="B52" s="177" t="s">
        <v>285</v>
      </c>
      <c r="C52" s="178" t="s">
        <v>4</v>
      </c>
      <c r="D52" s="179">
        <v>1</v>
      </c>
      <c r="E52" s="179"/>
      <c r="F52" s="179">
        <f t="shared" si="0"/>
        <v>0</v>
      </c>
      <c r="G52" s="185">
        <f>1400/25</f>
        <v>56</v>
      </c>
      <c r="H52" s="181">
        <f t="shared" si="1"/>
        <v>0</v>
      </c>
      <c r="I52" s="146"/>
      <c r="IA52" s="145"/>
      <c r="IB52" s="145"/>
      <c r="IC52" s="145"/>
      <c r="ID52" s="145"/>
      <c r="IE52" s="146"/>
    </row>
    <row r="53" spans="1:239" s="144" customFormat="1" ht="15.75">
      <c r="A53" s="176">
        <v>40</v>
      </c>
      <c r="B53" s="177" t="s">
        <v>286</v>
      </c>
      <c r="C53" s="182" t="s">
        <v>169</v>
      </c>
      <c r="D53" s="180">
        <v>1</v>
      </c>
      <c r="E53" s="180"/>
      <c r="F53" s="180">
        <f t="shared" si="0"/>
        <v>0</v>
      </c>
      <c r="G53" s="183">
        <v>450</v>
      </c>
      <c r="H53" s="183">
        <f t="shared" si="1"/>
        <v>0</v>
      </c>
      <c r="I53" s="146"/>
      <c r="IA53" s="145"/>
      <c r="IB53" s="145"/>
      <c r="IC53" s="145"/>
      <c r="ID53" s="145"/>
      <c r="IE53" s="146"/>
    </row>
    <row r="54" spans="7:9" ht="15.75">
      <c r="G54" s="187" t="s">
        <v>287</v>
      </c>
      <c r="H54" s="188">
        <f>SUM(H14:H53)</f>
        <v>19591.5265</v>
      </c>
      <c r="I54" s="146"/>
    </row>
    <row r="57" spans="6:8" ht="15.75">
      <c r="F57" s="189"/>
      <c r="G57" s="190" t="s">
        <v>288</v>
      </c>
      <c r="H57" s="191">
        <f>SUMIF($I$3:$I$10,"м",$H$3:$H$10)</f>
        <v>19591.5265</v>
      </c>
    </row>
    <row r="59" spans="3:8" ht="15.75">
      <c r="C59"/>
      <c r="D59"/>
      <c r="E59"/>
      <c r="F59"/>
      <c r="G59"/>
      <c r="H59"/>
    </row>
    <row r="61" spans="7:8" ht="15.75">
      <c r="G61" s="190" t="s">
        <v>289</v>
      </c>
      <c r="H61" s="192">
        <f>H54-H57</f>
        <v>0</v>
      </c>
    </row>
    <row r="66" ht="15.75">
      <c r="C66" s="146"/>
    </row>
    <row r="67" ht="15.75">
      <c r="C67" s="146"/>
    </row>
    <row r="68" ht="15.75">
      <c r="C68" s="146"/>
    </row>
    <row r="69" ht="15.75">
      <c r="C69" s="146"/>
    </row>
    <row r="70" ht="15.75">
      <c r="C70" s="146"/>
    </row>
    <row r="71" ht="15.75">
      <c r="C71" s="146"/>
    </row>
    <row r="72" ht="15.75">
      <c r="C72" s="146"/>
    </row>
    <row r="73" ht="15.75">
      <c r="C73" s="146"/>
    </row>
    <row r="74" ht="15.75">
      <c r="C74" s="146"/>
    </row>
    <row r="75" ht="15.75">
      <c r="C75" s="146"/>
    </row>
    <row r="76" ht="15.75">
      <c r="C76" s="146"/>
    </row>
    <row r="77" ht="15.75">
      <c r="C77" s="146"/>
    </row>
    <row r="78" ht="15.75">
      <c r="C78" s="146"/>
    </row>
    <row r="79" ht="15.75">
      <c r="C79" s="146"/>
    </row>
    <row r="80" ht="15.75">
      <c r="C80" s="146"/>
    </row>
    <row r="81" ht="15.75">
      <c r="C81" s="146"/>
    </row>
    <row r="82" ht="15.75">
      <c r="C82" s="146"/>
    </row>
    <row r="83" ht="15.75">
      <c r="C83" s="146"/>
    </row>
    <row r="84" ht="15.75">
      <c r="C84" s="146"/>
    </row>
    <row r="85" ht="15.75">
      <c r="C85" s="146"/>
    </row>
    <row r="86" ht="15.75">
      <c r="C86" s="146"/>
    </row>
    <row r="87" ht="15.75">
      <c r="C87" s="146"/>
    </row>
  </sheetData>
  <sheetProtection selectLockedCells="1" selectUnlockedCells="1"/>
  <autoFilter ref="A2:I54"/>
  <mergeCells count="1">
    <mergeCell ref="B1:E1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84"/>
  <sheetViews>
    <sheetView zoomScale="142" zoomScaleNormal="142" zoomScalePageLayoutView="0" workbookViewId="0" topLeftCell="A224">
      <selection activeCell="C255" sqref="C255"/>
    </sheetView>
  </sheetViews>
  <sheetFormatPr defaultColWidth="9.125" defaultRowHeight="12.75"/>
  <cols>
    <col min="1" max="1" width="8.625" style="141" customWidth="1"/>
    <col min="2" max="2" width="91.375" style="141" customWidth="1"/>
    <col min="3" max="7" width="20.875" style="141" customWidth="1"/>
    <col min="8" max="8" width="20.375" style="141" customWidth="1"/>
    <col min="9" max="9" width="27.125" style="141" customWidth="1"/>
    <col min="10" max="16384" width="9.125" style="141" customWidth="1"/>
  </cols>
  <sheetData>
    <row r="1" spans="1:239" s="144" customFormat="1" ht="27.75" customHeight="1">
      <c r="A1" s="142"/>
      <c r="B1" s="265" t="s">
        <v>226</v>
      </c>
      <c r="C1" s="265"/>
      <c r="D1" s="265"/>
      <c r="E1" s="265"/>
      <c r="F1" s="143"/>
      <c r="G1" s="143"/>
      <c r="H1" s="143"/>
      <c r="IA1" s="145"/>
      <c r="IB1" s="145"/>
      <c r="IC1" s="145"/>
      <c r="ID1" s="145"/>
      <c r="IE1" s="146"/>
    </row>
    <row r="2" spans="1:239" s="144" customFormat="1" ht="15.75" hidden="1">
      <c r="A2" s="147" t="s">
        <v>227</v>
      </c>
      <c r="B2" s="148" t="s">
        <v>228</v>
      </c>
      <c r="C2" s="148" t="s">
        <v>0</v>
      </c>
      <c r="D2" s="148" t="s">
        <v>229</v>
      </c>
      <c r="E2" s="149" t="s">
        <v>230</v>
      </c>
      <c r="F2" s="148" t="s">
        <v>231</v>
      </c>
      <c r="G2" s="148" t="s">
        <v>232</v>
      </c>
      <c r="H2" s="148" t="s">
        <v>233</v>
      </c>
      <c r="IA2" s="145"/>
      <c r="IB2" s="145"/>
      <c r="IC2" s="145"/>
      <c r="ID2" s="145"/>
      <c r="IE2" s="146"/>
    </row>
    <row r="3" spans="1:239" s="144" customFormat="1" ht="15.75" hidden="1">
      <c r="A3" s="142"/>
      <c r="B3" s="201" t="s">
        <v>297</v>
      </c>
      <c r="C3" s="202">
        <v>1</v>
      </c>
      <c r="D3" s="203"/>
      <c r="E3" s="143"/>
      <c r="F3" s="143"/>
      <c r="G3" s="143"/>
      <c r="H3" s="143"/>
      <c r="IA3" s="145"/>
      <c r="IB3" s="145"/>
      <c r="IC3" s="145"/>
      <c r="ID3" s="145"/>
      <c r="IE3" s="146"/>
    </row>
    <row r="4" spans="1:239" s="144" customFormat="1" ht="15.75" hidden="1">
      <c r="A4" s="142"/>
      <c r="B4" s="204" t="s">
        <v>298</v>
      </c>
      <c r="C4" s="205">
        <v>0</v>
      </c>
      <c r="D4" s="206" t="s">
        <v>9</v>
      </c>
      <c r="E4" s="143"/>
      <c r="F4" s="143"/>
      <c r="G4" s="143"/>
      <c r="H4" s="143"/>
      <c r="IA4" s="145"/>
      <c r="IB4" s="145"/>
      <c r="IC4" s="145"/>
      <c r="ID4" s="145"/>
      <c r="IE4" s="146"/>
    </row>
    <row r="5" spans="1:239" s="144" customFormat="1" ht="15.75" hidden="1">
      <c r="A5" s="142"/>
      <c r="B5" s="204" t="s">
        <v>299</v>
      </c>
      <c r="C5" s="205">
        <v>31.6</v>
      </c>
      <c r="D5" s="206" t="s">
        <v>9</v>
      </c>
      <c r="E5" s="143"/>
      <c r="F5" s="143"/>
      <c r="G5" s="143"/>
      <c r="H5" s="143"/>
      <c r="IA5" s="145"/>
      <c r="IB5" s="145"/>
      <c r="IC5" s="145"/>
      <c r="ID5" s="145"/>
      <c r="IE5" s="146"/>
    </row>
    <row r="6" spans="1:239" s="144" customFormat="1" ht="15.75" hidden="1">
      <c r="A6" s="142"/>
      <c r="B6" s="204" t="s">
        <v>300</v>
      </c>
      <c r="C6" s="205">
        <v>0</v>
      </c>
      <c r="D6" s="206" t="s">
        <v>9</v>
      </c>
      <c r="E6" s="143"/>
      <c r="F6" s="143"/>
      <c r="G6" s="143"/>
      <c r="H6" s="143"/>
      <c r="IA6" s="145"/>
      <c r="IB6" s="145"/>
      <c r="IC6" s="145"/>
      <c r="ID6" s="145"/>
      <c r="IE6" s="146"/>
    </row>
    <row r="7" spans="1:239" s="144" customFormat="1" ht="15.75" hidden="1">
      <c r="A7" s="142"/>
      <c r="B7" s="204" t="s">
        <v>301</v>
      </c>
      <c r="C7" s="205">
        <v>0</v>
      </c>
      <c r="D7" s="206" t="s">
        <v>9</v>
      </c>
      <c r="E7" s="143"/>
      <c r="F7" s="143"/>
      <c r="G7" s="143"/>
      <c r="H7" s="143"/>
      <c r="IA7" s="145"/>
      <c r="IB7" s="145"/>
      <c r="IC7" s="145"/>
      <c r="ID7" s="145"/>
      <c r="IE7" s="146"/>
    </row>
    <row r="8" spans="1:239" s="144" customFormat="1" ht="15.75" hidden="1">
      <c r="A8" s="142"/>
      <c r="B8" s="204" t="s">
        <v>302</v>
      </c>
      <c r="C8" s="205">
        <v>0</v>
      </c>
      <c r="D8" s="206" t="s">
        <v>9</v>
      </c>
      <c r="E8" s="143"/>
      <c r="F8" s="143"/>
      <c r="G8" s="143"/>
      <c r="H8" s="143"/>
      <c r="IA8" s="145"/>
      <c r="IB8" s="145"/>
      <c r="IC8" s="145"/>
      <c r="ID8" s="145"/>
      <c r="IE8" s="146"/>
    </row>
    <row r="9" spans="1:239" s="144" customFormat="1" ht="15.75" hidden="1">
      <c r="A9" s="142"/>
      <c r="B9" s="204" t="s">
        <v>303</v>
      </c>
      <c r="C9" s="205">
        <v>3.5</v>
      </c>
      <c r="D9" s="206" t="s">
        <v>9</v>
      </c>
      <c r="E9" s="143"/>
      <c r="F9" s="143"/>
      <c r="G9" s="143"/>
      <c r="H9" s="143"/>
      <c r="IA9" s="145"/>
      <c r="IB9" s="145"/>
      <c r="IC9" s="145"/>
      <c r="ID9" s="145"/>
      <c r="IE9" s="146"/>
    </row>
    <row r="10" spans="1:239" s="144" customFormat="1" ht="15.75" hidden="1">
      <c r="A10" s="142"/>
      <c r="B10" s="204" t="s">
        <v>304</v>
      </c>
      <c r="C10" s="205">
        <v>0</v>
      </c>
      <c r="D10" s="206" t="s">
        <v>9</v>
      </c>
      <c r="E10" s="143"/>
      <c r="F10" s="143"/>
      <c r="G10" s="143"/>
      <c r="H10" s="143"/>
      <c r="IA10" s="145"/>
      <c r="IB10" s="145"/>
      <c r="IC10" s="145"/>
      <c r="ID10" s="145"/>
      <c r="IE10" s="146"/>
    </row>
    <row r="11" spans="1:239" s="144" customFormat="1" ht="15.75" hidden="1">
      <c r="A11" s="142"/>
      <c r="B11" s="204" t="s">
        <v>305</v>
      </c>
      <c r="C11" s="205">
        <v>0</v>
      </c>
      <c r="D11" s="206" t="s">
        <v>9</v>
      </c>
      <c r="E11" s="143"/>
      <c r="F11" s="143"/>
      <c r="G11" s="143"/>
      <c r="H11" s="143"/>
      <c r="IA11" s="145"/>
      <c r="IB11" s="145"/>
      <c r="IC11" s="145"/>
      <c r="ID11" s="145"/>
      <c r="IE11" s="146"/>
    </row>
    <row r="12" spans="1:239" s="144" customFormat="1" ht="15.75" hidden="1">
      <c r="A12" s="142"/>
      <c r="B12" s="204" t="s">
        <v>306</v>
      </c>
      <c r="C12" s="205">
        <v>0</v>
      </c>
      <c r="D12" s="206" t="s">
        <v>2</v>
      </c>
      <c r="E12" s="143"/>
      <c r="F12" s="143"/>
      <c r="G12" s="143"/>
      <c r="H12" s="143"/>
      <c r="IA12" s="145"/>
      <c r="IB12" s="145"/>
      <c r="IC12" s="145"/>
      <c r="ID12" s="145"/>
      <c r="IE12" s="146"/>
    </row>
    <row r="13" spans="1:239" s="144" customFormat="1" ht="15.75" hidden="1">
      <c r="A13" s="142"/>
      <c r="B13" s="204" t="s">
        <v>307</v>
      </c>
      <c r="C13" s="205">
        <v>0</v>
      </c>
      <c r="D13" s="206" t="s">
        <v>9</v>
      </c>
      <c r="E13" s="143"/>
      <c r="F13" s="143"/>
      <c r="G13" s="143"/>
      <c r="H13" s="143"/>
      <c r="IA13" s="145"/>
      <c r="IB13" s="145"/>
      <c r="IC13" s="145"/>
      <c r="ID13" s="145"/>
      <c r="IE13" s="146"/>
    </row>
    <row r="14" spans="1:239" s="144" customFormat="1" ht="15.75" hidden="1">
      <c r="A14" s="142"/>
      <c r="B14" s="204" t="s">
        <v>308</v>
      </c>
      <c r="C14" s="205">
        <v>0</v>
      </c>
      <c r="D14" s="206" t="s">
        <v>2</v>
      </c>
      <c r="E14" s="143"/>
      <c r="F14" s="143"/>
      <c r="G14" s="143"/>
      <c r="H14" s="143"/>
      <c r="IA14" s="145"/>
      <c r="IB14" s="145"/>
      <c r="IC14" s="145"/>
      <c r="ID14" s="145"/>
      <c r="IE14" s="146"/>
    </row>
    <row r="15" spans="1:239" s="144" customFormat="1" ht="15.75" hidden="1">
      <c r="A15" s="142"/>
      <c r="B15" s="204" t="s">
        <v>309</v>
      </c>
      <c r="C15" s="205">
        <v>0</v>
      </c>
      <c r="D15" s="206" t="s">
        <v>2</v>
      </c>
      <c r="E15" s="143"/>
      <c r="F15" s="143"/>
      <c r="G15" s="143"/>
      <c r="H15" s="143"/>
      <c r="IA15" s="145"/>
      <c r="IB15" s="145"/>
      <c r="IC15" s="145"/>
      <c r="ID15" s="145"/>
      <c r="IE15" s="146"/>
    </row>
    <row r="16" spans="1:239" s="144" customFormat="1" ht="15.75" hidden="1">
      <c r="A16" s="142"/>
      <c r="B16" s="204" t="s">
        <v>310</v>
      </c>
      <c r="C16" s="205">
        <v>0</v>
      </c>
      <c r="D16" s="206" t="s">
        <v>2</v>
      </c>
      <c r="E16" s="143"/>
      <c r="F16" s="143"/>
      <c r="G16" s="143"/>
      <c r="H16" s="143"/>
      <c r="IA16" s="145"/>
      <c r="IB16" s="145"/>
      <c r="IC16" s="145"/>
      <c r="ID16" s="145"/>
      <c r="IE16" s="146"/>
    </row>
    <row r="17" spans="1:239" s="144" customFormat="1" ht="15.75" hidden="1">
      <c r="A17" s="142"/>
      <c r="B17" s="204" t="s">
        <v>311</v>
      </c>
      <c r="C17" s="205">
        <v>0</v>
      </c>
      <c r="D17" s="206" t="s">
        <v>2</v>
      </c>
      <c r="E17" s="143"/>
      <c r="F17" s="143"/>
      <c r="G17" s="143"/>
      <c r="H17" s="143"/>
      <c r="IA17" s="145"/>
      <c r="IB17" s="145"/>
      <c r="IC17" s="145"/>
      <c r="ID17" s="145"/>
      <c r="IE17" s="146"/>
    </row>
    <row r="18" spans="1:239" s="144" customFormat="1" ht="15.75" hidden="1">
      <c r="A18" s="142"/>
      <c r="B18" s="204" t="s">
        <v>235</v>
      </c>
      <c r="C18" s="205">
        <v>24.6</v>
      </c>
      <c r="D18" s="206" t="s">
        <v>2</v>
      </c>
      <c r="E18" s="143"/>
      <c r="F18" s="143"/>
      <c r="G18" s="143"/>
      <c r="H18" s="143"/>
      <c r="IA18" s="145"/>
      <c r="IB18" s="145"/>
      <c r="IC18" s="145"/>
      <c r="ID18" s="145"/>
      <c r="IE18" s="146"/>
    </row>
    <row r="19" spans="1:239" s="144" customFormat="1" ht="15.75" hidden="1">
      <c r="A19" s="142"/>
      <c r="B19" s="204" t="s">
        <v>312</v>
      </c>
      <c r="C19" s="205">
        <v>0</v>
      </c>
      <c r="D19" s="206" t="s">
        <v>2</v>
      </c>
      <c r="E19" s="143"/>
      <c r="F19" s="143"/>
      <c r="G19" s="143"/>
      <c r="H19" s="143"/>
      <c r="IA19" s="145"/>
      <c r="IB19" s="145"/>
      <c r="IC19" s="145"/>
      <c r="ID19" s="145"/>
      <c r="IE19" s="146"/>
    </row>
    <row r="20" spans="1:239" s="144" customFormat="1" ht="15.75" hidden="1">
      <c r="A20" s="142"/>
      <c r="B20" s="204" t="s">
        <v>236</v>
      </c>
      <c r="C20" s="205">
        <v>2.4</v>
      </c>
      <c r="D20" s="206" t="s">
        <v>2</v>
      </c>
      <c r="E20" s="143"/>
      <c r="F20" s="143"/>
      <c r="G20" s="143"/>
      <c r="H20" s="143"/>
      <c r="IA20" s="145"/>
      <c r="IB20" s="145"/>
      <c r="IC20" s="145"/>
      <c r="ID20" s="145"/>
      <c r="IE20" s="146"/>
    </row>
    <row r="21" spans="1:239" s="144" customFormat="1" ht="15.75" hidden="1">
      <c r="A21" s="142"/>
      <c r="B21" s="204" t="s">
        <v>237</v>
      </c>
      <c r="C21" s="205">
        <v>0</v>
      </c>
      <c r="D21" s="206" t="s">
        <v>2</v>
      </c>
      <c r="E21" s="143"/>
      <c r="F21" s="143"/>
      <c r="G21" s="143"/>
      <c r="H21" s="143"/>
      <c r="IA21" s="145"/>
      <c r="IB21" s="145"/>
      <c r="IC21" s="145"/>
      <c r="ID21" s="145"/>
      <c r="IE21" s="146"/>
    </row>
    <row r="22" spans="1:239" s="144" customFormat="1" ht="15.75" hidden="1">
      <c r="A22" s="142"/>
      <c r="B22" s="204" t="s">
        <v>238</v>
      </c>
      <c r="C22" s="205">
        <v>0</v>
      </c>
      <c r="D22" s="206" t="s">
        <v>2</v>
      </c>
      <c r="E22" s="143"/>
      <c r="F22" s="143"/>
      <c r="G22" s="207"/>
      <c r="H22" s="143"/>
      <c r="IA22" s="145"/>
      <c r="IB22" s="145"/>
      <c r="IC22" s="145"/>
      <c r="ID22" s="145"/>
      <c r="IE22" s="146"/>
    </row>
    <row r="23" spans="1:239" s="144" customFormat="1" ht="15.75" hidden="1">
      <c r="A23" s="142"/>
      <c r="B23" s="204" t="s">
        <v>313</v>
      </c>
      <c r="C23" s="205">
        <v>0</v>
      </c>
      <c r="D23" s="206" t="s">
        <v>2</v>
      </c>
      <c r="E23" s="143"/>
      <c r="F23" s="143"/>
      <c r="G23" s="143"/>
      <c r="H23" s="143"/>
      <c r="IA23" s="145"/>
      <c r="IB23" s="145"/>
      <c r="IC23" s="145"/>
      <c r="ID23" s="145"/>
      <c r="IE23" s="146"/>
    </row>
    <row r="24" spans="1:239" s="144" customFormat="1" ht="15.75" hidden="1">
      <c r="A24" s="142"/>
      <c r="B24" s="204" t="s">
        <v>314</v>
      </c>
      <c r="C24" s="205">
        <f>(C23+0.06)*C25*4*C26</f>
        <v>0</v>
      </c>
      <c r="D24" s="206" t="s">
        <v>9</v>
      </c>
      <c r="E24" s="143"/>
      <c r="F24" s="143"/>
      <c r="G24" s="143"/>
      <c r="H24" s="143"/>
      <c r="IA24" s="145"/>
      <c r="IB24" s="145"/>
      <c r="IC24" s="145"/>
      <c r="ID24" s="145"/>
      <c r="IE24" s="146"/>
    </row>
    <row r="25" spans="1:239" s="144" customFormat="1" ht="15.75" hidden="1">
      <c r="A25" s="142"/>
      <c r="B25" s="204" t="s">
        <v>315</v>
      </c>
      <c r="C25" s="205">
        <v>0</v>
      </c>
      <c r="D25" s="206" t="s">
        <v>2</v>
      </c>
      <c r="E25" s="143"/>
      <c r="F25" s="143"/>
      <c r="G25" s="143"/>
      <c r="H25" s="143"/>
      <c r="IA25" s="145"/>
      <c r="IB25" s="145"/>
      <c r="IC25" s="145"/>
      <c r="ID25" s="145"/>
      <c r="IE25" s="146"/>
    </row>
    <row r="26" spans="1:239" s="144" customFormat="1" ht="15.75" hidden="1">
      <c r="A26" s="142"/>
      <c r="B26" s="204" t="s">
        <v>316</v>
      </c>
      <c r="C26" s="205">
        <v>0</v>
      </c>
      <c r="D26" s="206" t="s">
        <v>10</v>
      </c>
      <c r="E26" s="143"/>
      <c r="F26" s="143"/>
      <c r="G26" s="143"/>
      <c r="H26" s="143"/>
      <c r="IA26" s="145"/>
      <c r="IB26" s="145"/>
      <c r="IC26" s="145"/>
      <c r="ID26" s="145"/>
      <c r="IE26" s="146"/>
    </row>
    <row r="27" spans="1:239" s="144" customFormat="1" ht="15.75" hidden="1">
      <c r="A27" s="142"/>
      <c r="B27" s="204" t="s">
        <v>242</v>
      </c>
      <c r="C27" s="205">
        <v>0</v>
      </c>
      <c r="D27" s="206" t="s">
        <v>9</v>
      </c>
      <c r="E27" s="143"/>
      <c r="F27" s="143"/>
      <c r="G27" s="143"/>
      <c r="H27" s="143"/>
      <c r="IA27" s="145"/>
      <c r="IB27" s="145"/>
      <c r="IC27" s="145"/>
      <c r="ID27" s="145"/>
      <c r="IE27" s="146"/>
    </row>
    <row r="28" spans="1:239" s="144" customFormat="1" ht="15.75" hidden="1">
      <c r="A28" s="142"/>
      <c r="B28" s="204" t="s">
        <v>243</v>
      </c>
      <c r="C28" s="205">
        <v>0</v>
      </c>
      <c r="D28" s="206" t="s">
        <v>2</v>
      </c>
      <c r="E28" s="143"/>
      <c r="F28" s="143"/>
      <c r="G28" s="143"/>
      <c r="H28" s="143"/>
      <c r="IA28" s="145"/>
      <c r="IB28" s="145"/>
      <c r="IC28" s="145"/>
      <c r="ID28" s="145"/>
      <c r="IE28" s="146"/>
    </row>
    <row r="29" spans="1:239" s="144" customFormat="1" ht="15.75" hidden="1">
      <c r="A29" s="142"/>
      <c r="B29" s="204" t="s">
        <v>244</v>
      </c>
      <c r="C29" s="205">
        <v>0</v>
      </c>
      <c r="D29" s="206" t="s">
        <v>2</v>
      </c>
      <c r="E29" s="143"/>
      <c r="F29" s="143"/>
      <c r="G29" s="143"/>
      <c r="H29" s="143"/>
      <c r="IA29" s="145"/>
      <c r="IB29" s="145"/>
      <c r="IC29" s="145"/>
      <c r="ID29" s="145"/>
      <c r="IE29" s="146"/>
    </row>
    <row r="30" spans="1:239" s="144" customFormat="1" ht="15.75" hidden="1">
      <c r="A30" s="142"/>
      <c r="B30" s="204" t="s">
        <v>317</v>
      </c>
      <c r="C30" s="205">
        <v>0</v>
      </c>
      <c r="D30" s="206" t="s">
        <v>9</v>
      </c>
      <c r="E30" s="143"/>
      <c r="F30" s="143"/>
      <c r="G30" s="143"/>
      <c r="H30" s="143"/>
      <c r="IA30" s="145"/>
      <c r="IB30" s="145"/>
      <c r="IC30" s="145"/>
      <c r="ID30" s="145"/>
      <c r="IE30" s="146"/>
    </row>
    <row r="31" spans="1:239" s="144" customFormat="1" ht="15.75" hidden="1">
      <c r="A31" s="142"/>
      <c r="B31" s="204" t="s">
        <v>318</v>
      </c>
      <c r="C31" s="205">
        <v>0</v>
      </c>
      <c r="D31" s="206" t="s">
        <v>2</v>
      </c>
      <c r="E31" s="143"/>
      <c r="F31" s="143"/>
      <c r="G31" s="143"/>
      <c r="H31" s="143"/>
      <c r="IA31" s="145"/>
      <c r="IB31" s="145"/>
      <c r="IC31" s="145"/>
      <c r="ID31" s="145"/>
      <c r="IE31" s="146"/>
    </row>
    <row r="32" spans="1:239" s="144" customFormat="1" ht="15.75" hidden="1">
      <c r="A32" s="142"/>
      <c r="B32" s="204" t="s">
        <v>319</v>
      </c>
      <c r="C32" s="205">
        <f>(C4+C5+C6+C7+(C18)*0.15)-C9-C10-C11-C33</f>
        <v>31.79</v>
      </c>
      <c r="D32" s="206" t="s">
        <v>9</v>
      </c>
      <c r="E32" s="208"/>
      <c r="F32" s="143"/>
      <c r="G32" s="143"/>
      <c r="H32" s="143"/>
      <c r="IA32" s="145"/>
      <c r="IB32" s="145"/>
      <c r="IC32" s="145"/>
      <c r="ID32" s="145"/>
      <c r="IE32" s="146"/>
    </row>
    <row r="33" spans="1:239" s="144" customFormat="1" ht="15.75" hidden="1">
      <c r="A33" s="142"/>
      <c r="B33" s="204" t="s">
        <v>320</v>
      </c>
      <c r="C33" s="205">
        <f>C8+C19*0.15</f>
        <v>0</v>
      </c>
      <c r="D33" s="206" t="s">
        <v>9</v>
      </c>
      <c r="E33" s="143"/>
      <c r="F33" s="143"/>
      <c r="G33" s="143"/>
      <c r="H33" s="143"/>
      <c r="IA33" s="145"/>
      <c r="IB33" s="145"/>
      <c r="IC33" s="145"/>
      <c r="ID33" s="145"/>
      <c r="IE33" s="146"/>
    </row>
    <row r="34" spans="1:239" s="144" customFormat="1" ht="15.75" hidden="1">
      <c r="A34" s="142"/>
      <c r="B34" s="204" t="s">
        <v>321</v>
      </c>
      <c r="C34" s="205">
        <f>C14*C16+C15*C17+C10+C12*0.04</f>
        <v>0</v>
      </c>
      <c r="D34" s="206" t="s">
        <v>9</v>
      </c>
      <c r="E34" s="143"/>
      <c r="F34" s="143"/>
      <c r="G34" s="143"/>
      <c r="H34" s="143"/>
      <c r="IA34" s="145"/>
      <c r="IB34" s="145"/>
      <c r="IC34" s="145"/>
      <c r="ID34" s="145"/>
      <c r="IE34" s="146"/>
    </row>
    <row r="35" spans="1:239" s="144" customFormat="1" ht="15.75" hidden="1">
      <c r="A35" s="142"/>
      <c r="B35" s="204" t="s">
        <v>322</v>
      </c>
      <c r="C35" s="205">
        <f>C11+C13*0.04</f>
        <v>0</v>
      </c>
      <c r="D35" s="206" t="s">
        <v>1</v>
      </c>
      <c r="E35" s="143"/>
      <c r="F35" s="143"/>
      <c r="G35" s="143"/>
      <c r="H35" s="143"/>
      <c r="IA35" s="145"/>
      <c r="IB35" s="145"/>
      <c r="IC35" s="145"/>
      <c r="ID35" s="145"/>
      <c r="IE35" s="146"/>
    </row>
    <row r="36" spans="1:239" s="144" customFormat="1" ht="15.75" hidden="1">
      <c r="A36" s="142"/>
      <c r="B36" s="201" t="s">
        <v>297</v>
      </c>
      <c r="C36" s="202">
        <v>2</v>
      </c>
      <c r="D36" s="209"/>
      <c r="E36" s="143"/>
      <c r="F36" s="143"/>
      <c r="G36" s="143"/>
      <c r="H36" s="143"/>
      <c r="IA36" s="145"/>
      <c r="IB36" s="145"/>
      <c r="IC36" s="145"/>
      <c r="ID36" s="145"/>
      <c r="IE36" s="146"/>
    </row>
    <row r="37" spans="1:239" s="144" customFormat="1" ht="15.75" hidden="1">
      <c r="A37" s="142"/>
      <c r="B37" s="210" t="s">
        <v>298</v>
      </c>
      <c r="C37" s="211">
        <v>0</v>
      </c>
      <c r="D37" s="212" t="s">
        <v>9</v>
      </c>
      <c r="E37" s="143"/>
      <c r="F37" s="143"/>
      <c r="G37" s="143"/>
      <c r="H37" s="143"/>
      <c r="IA37" s="145"/>
      <c r="IB37" s="145"/>
      <c r="IC37" s="145"/>
      <c r="ID37" s="145"/>
      <c r="IE37" s="146"/>
    </row>
    <row r="38" spans="1:239" s="144" customFormat="1" ht="15.75" hidden="1">
      <c r="A38" s="142"/>
      <c r="B38" s="210" t="s">
        <v>299</v>
      </c>
      <c r="C38" s="211">
        <v>36.2</v>
      </c>
      <c r="D38" s="212" t="s">
        <v>9</v>
      </c>
      <c r="E38" s="143"/>
      <c r="F38" s="143"/>
      <c r="G38" s="143"/>
      <c r="H38" s="143"/>
      <c r="IA38" s="145"/>
      <c r="IB38" s="145"/>
      <c r="IC38" s="145"/>
      <c r="ID38" s="145"/>
      <c r="IE38" s="146"/>
    </row>
    <row r="39" spans="1:239" s="144" customFormat="1" ht="15.75" hidden="1">
      <c r="A39" s="142"/>
      <c r="B39" s="210" t="s">
        <v>300</v>
      </c>
      <c r="C39" s="211">
        <v>0</v>
      </c>
      <c r="D39" s="212" t="s">
        <v>9</v>
      </c>
      <c r="E39" s="143"/>
      <c r="F39" s="143"/>
      <c r="G39" s="143"/>
      <c r="H39" s="143"/>
      <c r="IA39" s="145"/>
      <c r="IB39" s="145"/>
      <c r="IC39" s="145"/>
      <c r="ID39" s="145"/>
      <c r="IE39" s="146"/>
    </row>
    <row r="40" spans="1:239" s="144" customFormat="1" ht="15.75" hidden="1">
      <c r="A40" s="142"/>
      <c r="B40" s="210" t="s">
        <v>301</v>
      </c>
      <c r="C40" s="211">
        <v>0</v>
      </c>
      <c r="D40" s="212" t="s">
        <v>9</v>
      </c>
      <c r="E40" s="143"/>
      <c r="F40" s="143"/>
      <c r="G40" s="143"/>
      <c r="H40" s="143"/>
      <c r="IA40" s="145"/>
      <c r="IB40" s="145"/>
      <c r="IC40" s="145"/>
      <c r="ID40" s="145"/>
      <c r="IE40" s="146"/>
    </row>
    <row r="41" spans="1:239" s="144" customFormat="1" ht="15.75" hidden="1">
      <c r="A41" s="142"/>
      <c r="B41" s="210" t="s">
        <v>302</v>
      </c>
      <c r="C41" s="211">
        <v>0</v>
      </c>
      <c r="D41" s="212" t="s">
        <v>9</v>
      </c>
      <c r="E41" s="143"/>
      <c r="F41" s="143"/>
      <c r="G41" s="143"/>
      <c r="H41" s="143"/>
      <c r="IA41" s="145"/>
      <c r="IB41" s="145"/>
      <c r="IC41" s="145"/>
      <c r="ID41" s="145"/>
      <c r="IE41" s="146"/>
    </row>
    <row r="42" spans="1:239" s="144" customFormat="1" ht="15.75" hidden="1">
      <c r="A42" s="142"/>
      <c r="B42" s="210" t="s">
        <v>303</v>
      </c>
      <c r="C42" s="211">
        <v>2.9</v>
      </c>
      <c r="D42" s="212" t="s">
        <v>9</v>
      </c>
      <c r="E42" s="143"/>
      <c r="F42" s="143"/>
      <c r="G42" s="143"/>
      <c r="H42" s="143"/>
      <c r="IA42" s="145"/>
      <c r="IB42" s="145"/>
      <c r="IC42" s="145"/>
      <c r="ID42" s="145"/>
      <c r="IE42" s="146"/>
    </row>
    <row r="43" spans="1:239" s="144" customFormat="1" ht="15.75" hidden="1">
      <c r="A43" s="142"/>
      <c r="B43" s="210" t="s">
        <v>304</v>
      </c>
      <c r="C43" s="211">
        <v>0</v>
      </c>
      <c r="D43" s="212" t="s">
        <v>9</v>
      </c>
      <c r="E43" s="143"/>
      <c r="F43" s="143"/>
      <c r="G43" s="143"/>
      <c r="H43" s="143"/>
      <c r="IA43" s="145"/>
      <c r="IB43" s="145"/>
      <c r="IC43" s="145"/>
      <c r="ID43" s="145"/>
      <c r="IE43" s="146"/>
    </row>
    <row r="44" spans="1:239" s="144" customFormat="1" ht="15.75" hidden="1">
      <c r="A44" s="142"/>
      <c r="B44" s="210" t="s">
        <v>305</v>
      </c>
      <c r="C44" s="211">
        <v>0</v>
      </c>
      <c r="D44" s="212" t="s">
        <v>9</v>
      </c>
      <c r="E44" s="143"/>
      <c r="F44" s="143"/>
      <c r="G44" s="143"/>
      <c r="H44" s="143"/>
      <c r="IA44" s="145"/>
      <c r="IB44" s="145"/>
      <c r="IC44" s="145"/>
      <c r="ID44" s="145"/>
      <c r="IE44" s="146"/>
    </row>
    <row r="45" spans="1:239" s="144" customFormat="1" ht="15.75" hidden="1">
      <c r="A45" s="142"/>
      <c r="B45" s="210" t="s">
        <v>306</v>
      </c>
      <c r="C45" s="211">
        <v>0</v>
      </c>
      <c r="D45" s="212" t="s">
        <v>2</v>
      </c>
      <c r="E45" s="143"/>
      <c r="F45" s="143"/>
      <c r="G45" s="143"/>
      <c r="H45" s="143"/>
      <c r="IA45" s="145"/>
      <c r="IB45" s="145"/>
      <c r="IC45" s="145"/>
      <c r="ID45" s="145"/>
      <c r="IE45" s="146"/>
    </row>
    <row r="46" spans="1:239" s="144" customFormat="1" ht="15.75" hidden="1">
      <c r="A46" s="142"/>
      <c r="B46" s="210" t="s">
        <v>307</v>
      </c>
      <c r="C46" s="211">
        <v>0</v>
      </c>
      <c r="D46" s="212" t="s">
        <v>9</v>
      </c>
      <c r="E46" s="143"/>
      <c r="F46" s="143"/>
      <c r="G46" s="143"/>
      <c r="H46" s="143"/>
      <c r="IA46" s="145"/>
      <c r="IB46" s="145"/>
      <c r="IC46" s="145"/>
      <c r="ID46" s="145"/>
      <c r="IE46" s="146"/>
    </row>
    <row r="47" spans="1:239" s="144" customFormat="1" ht="15.75" hidden="1">
      <c r="A47" s="142"/>
      <c r="B47" s="210" t="s">
        <v>308</v>
      </c>
      <c r="C47" s="211">
        <v>0</v>
      </c>
      <c r="D47" s="212" t="s">
        <v>2</v>
      </c>
      <c r="E47" s="143"/>
      <c r="F47" s="143"/>
      <c r="G47" s="143"/>
      <c r="H47" s="143"/>
      <c r="IA47" s="145"/>
      <c r="IB47" s="145"/>
      <c r="IC47" s="145"/>
      <c r="ID47" s="145"/>
      <c r="IE47" s="146"/>
    </row>
    <row r="48" spans="1:239" s="144" customFormat="1" ht="15.75" hidden="1">
      <c r="A48" s="142"/>
      <c r="B48" s="210" t="s">
        <v>309</v>
      </c>
      <c r="C48" s="211">
        <v>0</v>
      </c>
      <c r="D48" s="212" t="s">
        <v>2</v>
      </c>
      <c r="E48" s="143"/>
      <c r="F48" s="143"/>
      <c r="G48" s="143"/>
      <c r="H48" s="143"/>
      <c r="IA48" s="145"/>
      <c r="IB48" s="145"/>
      <c r="IC48" s="145"/>
      <c r="ID48" s="145"/>
      <c r="IE48" s="146"/>
    </row>
    <row r="49" spans="1:239" s="144" customFormat="1" ht="15.75" hidden="1">
      <c r="A49" s="142"/>
      <c r="B49" s="210" t="s">
        <v>310</v>
      </c>
      <c r="C49" s="211">
        <v>0</v>
      </c>
      <c r="D49" s="212" t="s">
        <v>2</v>
      </c>
      <c r="E49" s="143"/>
      <c r="F49" s="143"/>
      <c r="G49" s="143"/>
      <c r="H49" s="143"/>
      <c r="IA49" s="145"/>
      <c r="IB49" s="145"/>
      <c r="IC49" s="145"/>
      <c r="ID49" s="145"/>
      <c r="IE49" s="146"/>
    </row>
    <row r="50" spans="1:239" s="144" customFormat="1" ht="15.75" hidden="1">
      <c r="A50" s="142"/>
      <c r="B50" s="210" t="s">
        <v>311</v>
      </c>
      <c r="C50" s="211">
        <v>0</v>
      </c>
      <c r="D50" s="212" t="s">
        <v>2</v>
      </c>
      <c r="E50" s="143"/>
      <c r="F50" s="143"/>
      <c r="G50" s="143"/>
      <c r="H50" s="143"/>
      <c r="IA50" s="145"/>
      <c r="IB50" s="145"/>
      <c r="IC50" s="145"/>
      <c r="ID50" s="145"/>
      <c r="IE50" s="146"/>
    </row>
    <row r="51" spans="1:239" s="144" customFormat="1" ht="15.75" hidden="1">
      <c r="A51" s="142"/>
      <c r="B51" s="210" t="s">
        <v>235</v>
      </c>
      <c r="C51" s="211">
        <v>7.8</v>
      </c>
      <c r="D51" s="212" t="s">
        <v>2</v>
      </c>
      <c r="E51" s="143"/>
      <c r="F51" s="143"/>
      <c r="G51" s="143"/>
      <c r="H51" s="143"/>
      <c r="IA51" s="145"/>
      <c r="IB51" s="145"/>
      <c r="IC51" s="145"/>
      <c r="ID51" s="145"/>
      <c r="IE51" s="146"/>
    </row>
    <row r="52" spans="1:239" s="144" customFormat="1" ht="15.75" hidden="1">
      <c r="A52" s="142"/>
      <c r="B52" s="210" t="s">
        <v>312</v>
      </c>
      <c r="C52" s="211">
        <v>0</v>
      </c>
      <c r="D52" s="212" t="s">
        <v>2</v>
      </c>
      <c r="E52" s="143"/>
      <c r="F52" s="143"/>
      <c r="G52" s="143"/>
      <c r="H52" s="143"/>
      <c r="IA52" s="145"/>
      <c r="IB52" s="145"/>
      <c r="IC52" s="145"/>
      <c r="ID52" s="145"/>
      <c r="IE52" s="146"/>
    </row>
    <row r="53" spans="1:239" s="144" customFormat="1" ht="15.75" hidden="1">
      <c r="A53" s="142"/>
      <c r="B53" s="210" t="s">
        <v>236</v>
      </c>
      <c r="C53" s="211">
        <v>2.4</v>
      </c>
      <c r="D53" s="212" t="s">
        <v>2</v>
      </c>
      <c r="E53" s="143"/>
      <c r="F53" s="143"/>
      <c r="G53" s="143"/>
      <c r="H53" s="143"/>
      <c r="IA53" s="145"/>
      <c r="IB53" s="145"/>
      <c r="IC53" s="145"/>
      <c r="ID53" s="145"/>
      <c r="IE53" s="146"/>
    </row>
    <row r="54" spans="1:239" s="144" customFormat="1" ht="15.75" hidden="1">
      <c r="A54" s="142"/>
      <c r="B54" s="210" t="s">
        <v>237</v>
      </c>
      <c r="C54" s="211">
        <v>0</v>
      </c>
      <c r="D54" s="212" t="s">
        <v>2</v>
      </c>
      <c r="E54" s="143"/>
      <c r="F54" s="143"/>
      <c r="G54" s="143"/>
      <c r="H54" s="143"/>
      <c r="IA54" s="145"/>
      <c r="IB54" s="145"/>
      <c r="IC54" s="145"/>
      <c r="ID54" s="145"/>
      <c r="IE54" s="146"/>
    </row>
    <row r="55" spans="1:239" s="144" customFormat="1" ht="15.75" hidden="1">
      <c r="A55" s="142"/>
      <c r="B55" s="210" t="s">
        <v>238</v>
      </c>
      <c r="C55" s="211">
        <v>0</v>
      </c>
      <c r="D55" s="212" t="s">
        <v>2</v>
      </c>
      <c r="E55" s="143"/>
      <c r="F55" s="143"/>
      <c r="G55" s="143"/>
      <c r="H55" s="143"/>
      <c r="IA55" s="145"/>
      <c r="IB55" s="145"/>
      <c r="IC55" s="145"/>
      <c r="ID55" s="145"/>
      <c r="IE55" s="146"/>
    </row>
    <row r="56" spans="1:239" s="144" customFormat="1" ht="15.75" hidden="1">
      <c r="A56" s="142"/>
      <c r="B56" s="210" t="s">
        <v>313</v>
      </c>
      <c r="C56" s="211">
        <v>0</v>
      </c>
      <c r="D56" s="212" t="s">
        <v>2</v>
      </c>
      <c r="E56" s="143"/>
      <c r="F56" s="143"/>
      <c r="G56" s="143"/>
      <c r="H56" s="143"/>
      <c r="IA56" s="145"/>
      <c r="IB56" s="145"/>
      <c r="IC56" s="145"/>
      <c r="ID56" s="145"/>
      <c r="IE56" s="146"/>
    </row>
    <row r="57" spans="1:239" s="144" customFormat="1" ht="15.75" hidden="1">
      <c r="A57" s="142"/>
      <c r="B57" s="210" t="s">
        <v>314</v>
      </c>
      <c r="C57" s="211">
        <f>(C56+0.06)*C58*4*C59</f>
        <v>0</v>
      </c>
      <c r="D57" s="212" t="s">
        <v>9</v>
      </c>
      <c r="E57" s="143"/>
      <c r="F57" s="143"/>
      <c r="G57" s="143"/>
      <c r="H57" s="143"/>
      <c r="IA57" s="145"/>
      <c r="IB57" s="145"/>
      <c r="IC57" s="145"/>
      <c r="ID57" s="145"/>
      <c r="IE57" s="146"/>
    </row>
    <row r="58" spans="1:239" s="144" customFormat="1" ht="15.75" hidden="1">
      <c r="A58" s="142"/>
      <c r="B58" s="210" t="s">
        <v>315</v>
      </c>
      <c r="C58" s="211">
        <v>0</v>
      </c>
      <c r="D58" s="212" t="s">
        <v>2</v>
      </c>
      <c r="E58" s="143"/>
      <c r="F58" s="143"/>
      <c r="G58" s="143"/>
      <c r="H58" s="143"/>
      <c r="IA58" s="145"/>
      <c r="IB58" s="145"/>
      <c r="IC58" s="145"/>
      <c r="ID58" s="145"/>
      <c r="IE58" s="146"/>
    </row>
    <row r="59" spans="1:239" s="144" customFormat="1" ht="15.75" hidden="1">
      <c r="A59" s="142"/>
      <c r="B59" s="210" t="s">
        <v>316</v>
      </c>
      <c r="C59" s="211">
        <v>0</v>
      </c>
      <c r="D59" s="212" t="s">
        <v>10</v>
      </c>
      <c r="E59" s="143"/>
      <c r="F59" s="143"/>
      <c r="G59" s="143"/>
      <c r="H59" s="143"/>
      <c r="IA59" s="145"/>
      <c r="IB59" s="145"/>
      <c r="IC59" s="145"/>
      <c r="ID59" s="145"/>
      <c r="IE59" s="146"/>
    </row>
    <row r="60" spans="1:239" s="144" customFormat="1" ht="15.75" hidden="1">
      <c r="A60" s="142"/>
      <c r="B60" s="210" t="s">
        <v>242</v>
      </c>
      <c r="C60" s="211">
        <v>0</v>
      </c>
      <c r="D60" s="212" t="s">
        <v>9</v>
      </c>
      <c r="E60" s="143"/>
      <c r="F60" s="143"/>
      <c r="G60" s="143"/>
      <c r="H60" s="143"/>
      <c r="IA60" s="145"/>
      <c r="IB60" s="145"/>
      <c r="IC60" s="145"/>
      <c r="ID60" s="145"/>
      <c r="IE60" s="146"/>
    </row>
    <row r="61" spans="1:239" s="144" customFormat="1" ht="15.75" hidden="1">
      <c r="A61" s="142"/>
      <c r="B61" s="210" t="s">
        <v>243</v>
      </c>
      <c r="C61" s="211">
        <v>0</v>
      </c>
      <c r="D61" s="212" t="s">
        <v>2</v>
      </c>
      <c r="E61" s="143"/>
      <c r="F61" s="143"/>
      <c r="G61" s="143"/>
      <c r="H61" s="143"/>
      <c r="IA61" s="145"/>
      <c r="IB61" s="145"/>
      <c r="IC61" s="145"/>
      <c r="ID61" s="145"/>
      <c r="IE61" s="146"/>
    </row>
    <row r="62" spans="1:239" s="144" customFormat="1" ht="15.75" hidden="1">
      <c r="A62" s="142"/>
      <c r="B62" s="210" t="s">
        <v>244</v>
      </c>
      <c r="C62" s="211">
        <v>0</v>
      </c>
      <c r="D62" s="212" t="s">
        <v>2</v>
      </c>
      <c r="E62" s="143"/>
      <c r="F62" s="143"/>
      <c r="G62" s="143"/>
      <c r="H62" s="143"/>
      <c r="IA62" s="145"/>
      <c r="IB62" s="145"/>
      <c r="IC62" s="145"/>
      <c r="ID62" s="145"/>
      <c r="IE62" s="146"/>
    </row>
    <row r="63" spans="1:239" s="144" customFormat="1" ht="15.75" hidden="1">
      <c r="A63" s="142"/>
      <c r="B63" s="210" t="s">
        <v>317</v>
      </c>
      <c r="C63" s="211">
        <v>0</v>
      </c>
      <c r="D63" s="212" t="s">
        <v>9</v>
      </c>
      <c r="E63" s="143"/>
      <c r="F63" s="143"/>
      <c r="G63" s="143"/>
      <c r="H63" s="143"/>
      <c r="IA63" s="145"/>
      <c r="IB63" s="145"/>
      <c r="IC63" s="145"/>
      <c r="ID63" s="145"/>
      <c r="IE63" s="146"/>
    </row>
    <row r="64" spans="1:239" s="144" customFormat="1" ht="15.75" hidden="1">
      <c r="A64" s="142"/>
      <c r="B64" s="210" t="s">
        <v>318</v>
      </c>
      <c r="C64" s="211">
        <v>0</v>
      </c>
      <c r="D64" s="212" t="s">
        <v>2</v>
      </c>
      <c r="E64" s="143"/>
      <c r="F64" s="143"/>
      <c r="G64" s="143"/>
      <c r="H64" s="143"/>
      <c r="IA64" s="145"/>
      <c r="IB64" s="145"/>
      <c r="IC64" s="145"/>
      <c r="ID64" s="145"/>
      <c r="IE64" s="146"/>
    </row>
    <row r="65" spans="1:239" s="144" customFormat="1" ht="15.75" hidden="1">
      <c r="A65" s="142"/>
      <c r="B65" s="210" t="s">
        <v>319</v>
      </c>
      <c r="C65" s="211">
        <f>(C37+C38+C39+C40+(C51)*0.15)-C42-C43-C44-C66</f>
        <v>34.470000000000006</v>
      </c>
      <c r="D65" s="212" t="s">
        <v>9</v>
      </c>
      <c r="E65" s="143"/>
      <c r="F65" s="143"/>
      <c r="G65" s="143"/>
      <c r="H65" s="143"/>
      <c r="IA65" s="145"/>
      <c r="IB65" s="145"/>
      <c r="IC65" s="145"/>
      <c r="ID65" s="145"/>
      <c r="IE65" s="146"/>
    </row>
    <row r="66" spans="1:239" s="144" customFormat="1" ht="15.75" hidden="1">
      <c r="A66" s="142"/>
      <c r="B66" s="210" t="s">
        <v>320</v>
      </c>
      <c r="C66" s="211">
        <f>C41+C52*0.15</f>
        <v>0</v>
      </c>
      <c r="D66" s="212" t="s">
        <v>9</v>
      </c>
      <c r="E66" s="143"/>
      <c r="F66" s="143"/>
      <c r="G66" s="143"/>
      <c r="H66" s="143"/>
      <c r="IA66" s="145"/>
      <c r="IB66" s="145"/>
      <c r="IC66" s="145"/>
      <c r="ID66" s="145"/>
      <c r="IE66" s="146"/>
    </row>
    <row r="67" spans="1:239" s="144" customFormat="1" ht="15.75" hidden="1">
      <c r="A67" s="142"/>
      <c r="B67" s="210" t="s">
        <v>321</v>
      </c>
      <c r="C67" s="211">
        <f>C47*C49+C48*C50+C43+C45*0.04</f>
        <v>0</v>
      </c>
      <c r="D67" s="212" t="s">
        <v>9</v>
      </c>
      <c r="E67" s="143"/>
      <c r="F67" s="143"/>
      <c r="G67" s="143"/>
      <c r="H67" s="143"/>
      <c r="IA67" s="145"/>
      <c r="IB67" s="145"/>
      <c r="IC67" s="145"/>
      <c r="ID67" s="145"/>
      <c r="IE67" s="146"/>
    </row>
    <row r="68" spans="1:239" s="144" customFormat="1" ht="15.75" hidden="1">
      <c r="A68" s="142"/>
      <c r="B68" s="210" t="s">
        <v>322</v>
      </c>
      <c r="C68" s="211">
        <f>C44+C46*0.04</f>
        <v>0</v>
      </c>
      <c r="D68" s="212" t="s">
        <v>1</v>
      </c>
      <c r="E68" s="143"/>
      <c r="F68" s="143"/>
      <c r="G68" s="143"/>
      <c r="H68" s="143"/>
      <c r="IA68" s="145"/>
      <c r="IB68" s="145"/>
      <c r="IC68" s="145"/>
      <c r="ID68" s="145"/>
      <c r="IE68" s="146"/>
    </row>
    <row r="69" spans="1:239" s="144" customFormat="1" ht="15.75" hidden="1">
      <c r="A69" s="142"/>
      <c r="B69" s="201" t="s">
        <v>297</v>
      </c>
      <c r="C69" s="202">
        <v>3</v>
      </c>
      <c r="D69" s="209"/>
      <c r="E69" s="143"/>
      <c r="F69" s="143"/>
      <c r="G69" s="143"/>
      <c r="H69" s="143"/>
      <c r="IA69" s="145"/>
      <c r="IB69" s="145"/>
      <c r="IC69" s="145"/>
      <c r="ID69" s="145"/>
      <c r="IE69" s="146"/>
    </row>
    <row r="70" spans="1:239" s="144" customFormat="1" ht="15.75" hidden="1">
      <c r="A70" s="142"/>
      <c r="B70" s="213" t="s">
        <v>298</v>
      </c>
      <c r="C70" s="214">
        <v>0</v>
      </c>
      <c r="D70" s="215" t="s">
        <v>9</v>
      </c>
      <c r="E70" s="143"/>
      <c r="F70" s="143"/>
      <c r="G70" s="143"/>
      <c r="H70" s="143"/>
      <c r="IA70" s="145"/>
      <c r="IB70" s="145"/>
      <c r="IC70" s="145"/>
      <c r="ID70" s="145"/>
      <c r="IE70" s="146"/>
    </row>
    <row r="71" spans="1:239" s="144" customFormat="1" ht="15.75" hidden="1">
      <c r="A71" s="142"/>
      <c r="B71" s="213" t="s">
        <v>299</v>
      </c>
      <c r="C71" s="214">
        <v>38.3</v>
      </c>
      <c r="D71" s="215" t="s">
        <v>9</v>
      </c>
      <c r="E71" s="143"/>
      <c r="F71" s="143"/>
      <c r="G71" s="143"/>
      <c r="H71" s="143"/>
      <c r="IA71" s="145"/>
      <c r="IB71" s="145"/>
      <c r="IC71" s="145"/>
      <c r="ID71" s="145"/>
      <c r="IE71" s="146"/>
    </row>
    <row r="72" spans="1:239" s="144" customFormat="1" ht="15.75" hidden="1">
      <c r="A72" s="142"/>
      <c r="B72" s="213" t="s">
        <v>300</v>
      </c>
      <c r="C72" s="214">
        <v>0</v>
      </c>
      <c r="D72" s="215" t="s">
        <v>9</v>
      </c>
      <c r="E72" s="143"/>
      <c r="F72" s="143"/>
      <c r="G72" s="143"/>
      <c r="H72" s="143"/>
      <c r="IA72" s="145"/>
      <c r="IB72" s="145"/>
      <c r="IC72" s="145"/>
      <c r="ID72" s="145"/>
      <c r="IE72" s="146"/>
    </row>
    <row r="73" spans="1:239" s="144" customFormat="1" ht="15.75" hidden="1">
      <c r="A73" s="142"/>
      <c r="B73" s="213" t="s">
        <v>301</v>
      </c>
      <c r="C73" s="214">
        <v>0</v>
      </c>
      <c r="D73" s="215" t="s">
        <v>9</v>
      </c>
      <c r="E73" s="143"/>
      <c r="F73" s="143"/>
      <c r="G73" s="143"/>
      <c r="H73" s="143"/>
      <c r="IA73" s="145"/>
      <c r="IB73" s="145"/>
      <c r="IC73" s="145"/>
      <c r="ID73" s="145"/>
      <c r="IE73" s="146"/>
    </row>
    <row r="74" spans="1:239" s="144" customFormat="1" ht="15.75" hidden="1">
      <c r="A74" s="142"/>
      <c r="B74" s="213" t="s">
        <v>302</v>
      </c>
      <c r="C74" s="214">
        <v>0</v>
      </c>
      <c r="D74" s="215" t="s">
        <v>9</v>
      </c>
      <c r="E74" s="143"/>
      <c r="F74" s="143"/>
      <c r="G74" s="143"/>
      <c r="H74" s="143"/>
      <c r="IA74" s="145"/>
      <c r="IB74" s="145"/>
      <c r="IC74" s="145"/>
      <c r="ID74" s="145"/>
      <c r="IE74" s="146"/>
    </row>
    <row r="75" spans="1:239" s="144" customFormat="1" ht="15.75" hidden="1">
      <c r="A75" s="142"/>
      <c r="B75" s="213" t="s">
        <v>303</v>
      </c>
      <c r="C75" s="214">
        <v>3.5</v>
      </c>
      <c r="D75" s="215" t="s">
        <v>9</v>
      </c>
      <c r="E75" s="143"/>
      <c r="F75" s="143"/>
      <c r="G75" s="143"/>
      <c r="H75" s="143"/>
      <c r="IA75" s="145"/>
      <c r="IB75" s="145"/>
      <c r="IC75" s="145"/>
      <c r="ID75" s="145"/>
      <c r="IE75" s="146"/>
    </row>
    <row r="76" spans="1:239" s="144" customFormat="1" ht="15.75" hidden="1">
      <c r="A76" s="142"/>
      <c r="B76" s="213" t="s">
        <v>304</v>
      </c>
      <c r="C76" s="214">
        <v>0</v>
      </c>
      <c r="D76" s="215" t="s">
        <v>9</v>
      </c>
      <c r="E76" s="143"/>
      <c r="F76" s="143"/>
      <c r="G76" s="143"/>
      <c r="H76" s="143"/>
      <c r="IA76" s="145"/>
      <c r="IB76" s="145"/>
      <c r="IC76" s="145"/>
      <c r="ID76" s="145"/>
      <c r="IE76" s="146"/>
    </row>
    <row r="77" spans="1:239" s="144" customFormat="1" ht="15.75" hidden="1">
      <c r="A77" s="142"/>
      <c r="B77" s="213" t="s">
        <v>305</v>
      </c>
      <c r="C77" s="214">
        <v>0</v>
      </c>
      <c r="D77" s="215" t="s">
        <v>9</v>
      </c>
      <c r="E77" s="143"/>
      <c r="F77" s="143"/>
      <c r="G77" s="143"/>
      <c r="H77" s="143"/>
      <c r="IA77" s="145"/>
      <c r="IB77" s="145"/>
      <c r="IC77" s="145"/>
      <c r="ID77" s="145"/>
      <c r="IE77" s="146"/>
    </row>
    <row r="78" spans="1:239" s="144" customFormat="1" ht="15.75" hidden="1">
      <c r="A78" s="142"/>
      <c r="B78" s="213" t="s">
        <v>306</v>
      </c>
      <c r="C78" s="214">
        <v>0</v>
      </c>
      <c r="D78" s="215" t="s">
        <v>2</v>
      </c>
      <c r="E78" s="143"/>
      <c r="F78" s="143"/>
      <c r="G78" s="143"/>
      <c r="H78" s="143"/>
      <c r="IA78" s="145"/>
      <c r="IB78" s="145"/>
      <c r="IC78" s="145"/>
      <c r="ID78" s="145"/>
      <c r="IE78" s="146"/>
    </row>
    <row r="79" spans="1:239" s="144" customFormat="1" ht="15.75" hidden="1">
      <c r="A79" s="142"/>
      <c r="B79" s="213" t="s">
        <v>307</v>
      </c>
      <c r="C79" s="214">
        <v>0</v>
      </c>
      <c r="D79" s="215" t="s">
        <v>9</v>
      </c>
      <c r="E79" s="143"/>
      <c r="F79" s="143"/>
      <c r="G79" s="143"/>
      <c r="H79" s="143"/>
      <c r="IA79" s="145"/>
      <c r="IB79" s="145"/>
      <c r="IC79" s="145"/>
      <c r="ID79" s="145"/>
      <c r="IE79" s="146"/>
    </row>
    <row r="80" spans="1:239" s="144" customFormat="1" ht="15.75" hidden="1">
      <c r="A80" s="142"/>
      <c r="B80" s="213" t="s">
        <v>308</v>
      </c>
      <c r="C80" s="214">
        <v>0</v>
      </c>
      <c r="D80" s="215" t="s">
        <v>2</v>
      </c>
      <c r="E80" s="143"/>
      <c r="F80" s="143"/>
      <c r="G80" s="143"/>
      <c r="H80" s="143"/>
      <c r="IA80" s="145"/>
      <c r="IB80" s="145"/>
      <c r="IC80" s="145"/>
      <c r="ID80" s="145"/>
      <c r="IE80" s="146"/>
    </row>
    <row r="81" spans="1:239" s="144" customFormat="1" ht="15.75" hidden="1">
      <c r="A81" s="142"/>
      <c r="B81" s="213" t="s">
        <v>309</v>
      </c>
      <c r="C81" s="214">
        <v>0</v>
      </c>
      <c r="D81" s="215" t="s">
        <v>2</v>
      </c>
      <c r="E81" s="143"/>
      <c r="F81" s="143"/>
      <c r="G81" s="143"/>
      <c r="H81" s="143"/>
      <c r="IA81" s="145"/>
      <c r="IB81" s="145"/>
      <c r="IC81" s="145"/>
      <c r="ID81" s="145"/>
      <c r="IE81" s="146"/>
    </row>
    <row r="82" spans="1:239" s="144" customFormat="1" ht="15.75" hidden="1">
      <c r="A82" s="142"/>
      <c r="B82" s="213" t="s">
        <v>310</v>
      </c>
      <c r="C82" s="214">
        <v>0</v>
      </c>
      <c r="D82" s="215" t="s">
        <v>2</v>
      </c>
      <c r="E82" s="143"/>
      <c r="F82" s="143"/>
      <c r="G82" s="143"/>
      <c r="H82" s="143"/>
      <c r="IA82" s="145"/>
      <c r="IB82" s="145"/>
      <c r="IC82" s="145"/>
      <c r="ID82" s="145"/>
      <c r="IE82" s="146"/>
    </row>
    <row r="83" spans="1:239" s="144" customFormat="1" ht="15.75" hidden="1">
      <c r="A83" s="142"/>
      <c r="B83" s="213" t="s">
        <v>311</v>
      </c>
      <c r="C83" s="214">
        <v>0</v>
      </c>
      <c r="D83" s="215" t="s">
        <v>2</v>
      </c>
      <c r="E83" s="143"/>
      <c r="F83" s="143"/>
      <c r="G83" s="143"/>
      <c r="H83" s="143"/>
      <c r="IA83" s="145"/>
      <c r="IB83" s="145"/>
      <c r="IC83" s="145"/>
      <c r="ID83" s="145"/>
      <c r="IE83" s="146"/>
    </row>
    <row r="84" spans="1:239" s="144" customFormat="1" ht="15.75" hidden="1">
      <c r="A84" s="142"/>
      <c r="B84" s="213" t="s">
        <v>235</v>
      </c>
      <c r="C84" s="214">
        <v>11.7</v>
      </c>
      <c r="D84" s="215" t="s">
        <v>2</v>
      </c>
      <c r="E84" s="143"/>
      <c r="F84" s="143"/>
      <c r="G84" s="143"/>
      <c r="H84" s="143"/>
      <c r="IA84" s="145"/>
      <c r="IB84" s="145"/>
      <c r="IC84" s="145"/>
      <c r="ID84" s="145"/>
      <c r="IE84" s="146"/>
    </row>
    <row r="85" spans="1:239" s="144" customFormat="1" ht="15.75" hidden="1">
      <c r="A85" s="142"/>
      <c r="B85" s="213" t="s">
        <v>312</v>
      </c>
      <c r="C85" s="214">
        <v>0</v>
      </c>
      <c r="D85" s="215" t="s">
        <v>2</v>
      </c>
      <c r="E85" s="143"/>
      <c r="F85" s="143"/>
      <c r="G85" s="143"/>
      <c r="H85" s="143"/>
      <c r="IA85" s="145"/>
      <c r="IB85" s="145"/>
      <c r="IC85" s="145"/>
      <c r="ID85" s="145"/>
      <c r="IE85" s="146"/>
    </row>
    <row r="86" spans="1:239" s="144" customFormat="1" ht="15.75" hidden="1">
      <c r="A86" s="142"/>
      <c r="B86" s="213" t="s">
        <v>236</v>
      </c>
      <c r="C86" s="214">
        <v>3.6</v>
      </c>
      <c r="D86" s="215" t="s">
        <v>2</v>
      </c>
      <c r="E86" s="143"/>
      <c r="F86" s="143"/>
      <c r="G86" s="143"/>
      <c r="H86" s="143"/>
      <c r="IA86" s="145"/>
      <c r="IB86" s="145"/>
      <c r="IC86" s="145"/>
      <c r="ID86" s="145"/>
      <c r="IE86" s="146"/>
    </row>
    <row r="87" spans="1:239" s="144" customFormat="1" ht="15.75" hidden="1">
      <c r="A87" s="142"/>
      <c r="B87" s="213" t="s">
        <v>237</v>
      </c>
      <c r="C87" s="214">
        <v>0</v>
      </c>
      <c r="D87" s="215" t="s">
        <v>2</v>
      </c>
      <c r="E87" s="143"/>
      <c r="F87" s="143"/>
      <c r="G87" s="143"/>
      <c r="H87" s="143"/>
      <c r="IA87" s="145"/>
      <c r="IB87" s="145"/>
      <c r="IC87" s="145"/>
      <c r="ID87" s="145"/>
      <c r="IE87" s="146"/>
    </row>
    <row r="88" spans="1:239" s="144" customFormat="1" ht="15.75" hidden="1">
      <c r="A88" s="142"/>
      <c r="B88" s="213" t="s">
        <v>238</v>
      </c>
      <c r="C88" s="214">
        <v>0</v>
      </c>
      <c r="D88" s="215" t="s">
        <v>2</v>
      </c>
      <c r="E88" s="143"/>
      <c r="F88" s="143"/>
      <c r="G88" s="143"/>
      <c r="H88" s="143"/>
      <c r="IA88" s="145"/>
      <c r="IB88" s="145"/>
      <c r="IC88" s="145"/>
      <c r="ID88" s="145"/>
      <c r="IE88" s="146"/>
    </row>
    <row r="89" spans="1:239" s="144" customFormat="1" ht="15.75" hidden="1">
      <c r="A89" s="142"/>
      <c r="B89" s="213" t="s">
        <v>313</v>
      </c>
      <c r="C89" s="214">
        <v>0</v>
      </c>
      <c r="D89" s="215" t="s">
        <v>2</v>
      </c>
      <c r="E89" s="143"/>
      <c r="F89" s="143"/>
      <c r="G89" s="143"/>
      <c r="H89" s="143"/>
      <c r="IA89" s="145"/>
      <c r="IB89" s="145"/>
      <c r="IC89" s="145"/>
      <c r="ID89" s="145"/>
      <c r="IE89" s="146"/>
    </row>
    <row r="90" spans="1:239" s="144" customFormat="1" ht="15.75" hidden="1">
      <c r="A90" s="142"/>
      <c r="B90" s="213" t="s">
        <v>314</v>
      </c>
      <c r="C90" s="214">
        <f>(C89+0.06)*C91*4*C92</f>
        <v>0</v>
      </c>
      <c r="D90" s="215" t="s">
        <v>9</v>
      </c>
      <c r="E90" s="143"/>
      <c r="F90" s="143"/>
      <c r="G90" s="143"/>
      <c r="H90" s="143"/>
      <c r="IA90" s="145"/>
      <c r="IB90" s="145"/>
      <c r="IC90" s="145"/>
      <c r="ID90" s="145"/>
      <c r="IE90" s="146"/>
    </row>
    <row r="91" spans="1:239" s="144" customFormat="1" ht="15.75" hidden="1">
      <c r="A91" s="142"/>
      <c r="B91" s="213" t="s">
        <v>315</v>
      </c>
      <c r="C91" s="214">
        <v>0</v>
      </c>
      <c r="D91" s="215" t="s">
        <v>2</v>
      </c>
      <c r="E91" s="143"/>
      <c r="F91" s="143"/>
      <c r="G91" s="143"/>
      <c r="H91" s="143"/>
      <c r="IA91" s="145"/>
      <c r="IB91" s="145"/>
      <c r="IC91" s="145"/>
      <c r="ID91" s="145"/>
      <c r="IE91" s="146"/>
    </row>
    <row r="92" spans="1:239" s="144" customFormat="1" ht="15.75" hidden="1">
      <c r="A92" s="142"/>
      <c r="B92" s="213" t="s">
        <v>316</v>
      </c>
      <c r="C92" s="214">
        <v>0</v>
      </c>
      <c r="D92" s="215" t="s">
        <v>10</v>
      </c>
      <c r="E92" s="143"/>
      <c r="F92" s="143"/>
      <c r="G92" s="143"/>
      <c r="H92" s="143"/>
      <c r="IA92" s="145"/>
      <c r="IB92" s="145"/>
      <c r="IC92" s="145"/>
      <c r="ID92" s="145"/>
      <c r="IE92" s="146"/>
    </row>
    <row r="93" spans="1:239" s="144" customFormat="1" ht="15.75" hidden="1">
      <c r="A93" s="142"/>
      <c r="B93" s="213" t="s">
        <v>242</v>
      </c>
      <c r="C93" s="214">
        <v>0</v>
      </c>
      <c r="D93" s="215" t="s">
        <v>9</v>
      </c>
      <c r="E93" s="143"/>
      <c r="F93" s="143"/>
      <c r="G93" s="143"/>
      <c r="H93" s="143"/>
      <c r="IA93" s="145"/>
      <c r="IB93" s="145"/>
      <c r="IC93" s="145"/>
      <c r="ID93" s="145"/>
      <c r="IE93" s="146"/>
    </row>
    <row r="94" spans="1:239" s="144" customFormat="1" ht="15.75" hidden="1">
      <c r="A94" s="142"/>
      <c r="B94" s="213" t="s">
        <v>243</v>
      </c>
      <c r="C94" s="214">
        <v>0</v>
      </c>
      <c r="D94" s="215" t="s">
        <v>2</v>
      </c>
      <c r="E94" s="143"/>
      <c r="F94" s="143"/>
      <c r="G94" s="143"/>
      <c r="H94" s="143"/>
      <c r="IA94" s="145"/>
      <c r="IB94" s="145"/>
      <c r="IC94" s="145"/>
      <c r="ID94" s="145"/>
      <c r="IE94" s="146"/>
    </row>
    <row r="95" spans="1:239" s="144" customFormat="1" ht="15.75" hidden="1">
      <c r="A95" s="142"/>
      <c r="B95" s="213" t="s">
        <v>244</v>
      </c>
      <c r="C95" s="214">
        <v>0</v>
      </c>
      <c r="D95" s="215" t="s">
        <v>2</v>
      </c>
      <c r="E95" s="143"/>
      <c r="F95" s="143"/>
      <c r="G95" s="143"/>
      <c r="H95" s="143"/>
      <c r="IA95" s="145"/>
      <c r="IB95" s="145"/>
      <c r="IC95" s="145"/>
      <c r="ID95" s="145"/>
      <c r="IE95" s="146"/>
    </row>
    <row r="96" spans="1:239" s="144" customFormat="1" ht="15.75" hidden="1">
      <c r="A96" s="142"/>
      <c r="B96" s="213" t="s">
        <v>317</v>
      </c>
      <c r="C96" s="214">
        <v>0</v>
      </c>
      <c r="D96" s="215" t="s">
        <v>9</v>
      </c>
      <c r="E96" s="143"/>
      <c r="F96" s="143"/>
      <c r="G96" s="143"/>
      <c r="H96" s="143"/>
      <c r="IA96" s="145"/>
      <c r="IB96" s="145"/>
      <c r="IC96" s="145"/>
      <c r="ID96" s="145"/>
      <c r="IE96" s="146"/>
    </row>
    <row r="97" spans="1:239" s="144" customFormat="1" ht="15.75" hidden="1">
      <c r="A97" s="142"/>
      <c r="B97" s="213" t="s">
        <v>318</v>
      </c>
      <c r="C97" s="214">
        <v>0</v>
      </c>
      <c r="D97" s="215" t="s">
        <v>2</v>
      </c>
      <c r="E97" s="143"/>
      <c r="F97" s="143"/>
      <c r="G97" s="143"/>
      <c r="H97" s="143"/>
      <c r="IA97" s="145"/>
      <c r="IB97" s="145"/>
      <c r="IC97" s="145"/>
      <c r="ID97" s="145"/>
      <c r="IE97" s="146"/>
    </row>
    <row r="98" spans="1:239" s="144" customFormat="1" ht="15.75" hidden="1">
      <c r="A98" s="142"/>
      <c r="B98" s="213" t="s">
        <v>319</v>
      </c>
      <c r="C98" s="214">
        <f>(C70+C71+C72+C73+(C84)*0.15)-C75-C76-C77-C99</f>
        <v>36.555</v>
      </c>
      <c r="D98" s="215" t="s">
        <v>9</v>
      </c>
      <c r="E98" s="143"/>
      <c r="F98" s="143"/>
      <c r="G98" s="143"/>
      <c r="H98" s="143"/>
      <c r="IA98" s="145"/>
      <c r="IB98" s="145"/>
      <c r="IC98" s="145"/>
      <c r="ID98" s="145"/>
      <c r="IE98" s="146"/>
    </row>
    <row r="99" spans="1:239" s="144" customFormat="1" ht="15.75" hidden="1">
      <c r="A99" s="142"/>
      <c r="B99" s="213" t="s">
        <v>320</v>
      </c>
      <c r="C99" s="214">
        <f>C74+C85*0.15</f>
        <v>0</v>
      </c>
      <c r="D99" s="215" t="s">
        <v>9</v>
      </c>
      <c r="E99" s="143"/>
      <c r="F99" s="143"/>
      <c r="G99" s="143"/>
      <c r="H99" s="143"/>
      <c r="IA99" s="145"/>
      <c r="IB99" s="145"/>
      <c r="IC99" s="145"/>
      <c r="ID99" s="145"/>
      <c r="IE99" s="146"/>
    </row>
    <row r="100" spans="1:239" s="144" customFormat="1" ht="15.75" hidden="1">
      <c r="A100" s="142"/>
      <c r="B100" s="213" t="s">
        <v>321</v>
      </c>
      <c r="C100" s="214">
        <f>C80*C82+C81*C83+C76+C78*0.04</f>
        <v>0</v>
      </c>
      <c r="D100" s="215" t="s">
        <v>9</v>
      </c>
      <c r="E100" s="143"/>
      <c r="F100" s="143"/>
      <c r="G100" s="143"/>
      <c r="H100" s="143"/>
      <c r="IA100" s="145"/>
      <c r="IB100" s="145"/>
      <c r="IC100" s="145"/>
      <c r="ID100" s="145"/>
      <c r="IE100" s="146"/>
    </row>
    <row r="101" spans="1:239" s="144" customFormat="1" ht="15.75" hidden="1">
      <c r="A101" s="142"/>
      <c r="B101" s="213" t="s">
        <v>322</v>
      </c>
      <c r="C101" s="214">
        <f>C77+C79*0.04</f>
        <v>0</v>
      </c>
      <c r="D101" s="215" t="s">
        <v>1</v>
      </c>
      <c r="E101" s="143"/>
      <c r="F101" s="143"/>
      <c r="G101" s="143"/>
      <c r="H101" s="143"/>
      <c r="IA101" s="145"/>
      <c r="IB101" s="145"/>
      <c r="IC101" s="145"/>
      <c r="ID101" s="145"/>
      <c r="IE101" s="146"/>
    </row>
    <row r="102" spans="1:239" s="144" customFormat="1" ht="15.75" hidden="1">
      <c r="A102" s="142"/>
      <c r="B102" s="201" t="s">
        <v>297</v>
      </c>
      <c r="C102" s="202">
        <v>4</v>
      </c>
      <c r="D102" s="209"/>
      <c r="E102" s="143"/>
      <c r="F102" s="143"/>
      <c r="G102" s="143"/>
      <c r="H102" s="143"/>
      <c r="IA102" s="145"/>
      <c r="IB102" s="145"/>
      <c r="IC102" s="145"/>
      <c r="ID102" s="145"/>
      <c r="IE102" s="146"/>
    </row>
    <row r="103" spans="1:239" s="144" customFormat="1" ht="15.75" hidden="1">
      <c r="A103" s="142"/>
      <c r="B103" s="225" t="s">
        <v>298</v>
      </c>
      <c r="C103" s="226">
        <v>0</v>
      </c>
      <c r="D103" s="227" t="s">
        <v>9</v>
      </c>
      <c r="E103" s="143"/>
      <c r="F103" s="143"/>
      <c r="G103" s="143"/>
      <c r="H103" s="143"/>
      <c r="IA103" s="145"/>
      <c r="IB103" s="145"/>
      <c r="IC103" s="145"/>
      <c r="ID103" s="145"/>
      <c r="IE103" s="146"/>
    </row>
    <row r="104" spans="1:239" s="144" customFormat="1" ht="15.75" hidden="1">
      <c r="A104" s="142"/>
      <c r="B104" s="225" t="s">
        <v>299</v>
      </c>
      <c r="C104" s="226">
        <v>36.2</v>
      </c>
      <c r="D104" s="227" t="s">
        <v>9</v>
      </c>
      <c r="E104" s="143"/>
      <c r="F104" s="143"/>
      <c r="G104" s="143"/>
      <c r="H104" s="143"/>
      <c r="IA104" s="145"/>
      <c r="IB104" s="145"/>
      <c r="IC104" s="145"/>
      <c r="ID104" s="145"/>
      <c r="IE104" s="146"/>
    </row>
    <row r="105" spans="1:239" s="144" customFormat="1" ht="15.75" hidden="1">
      <c r="A105" s="142"/>
      <c r="B105" s="225" t="s">
        <v>300</v>
      </c>
      <c r="C105" s="226">
        <v>0</v>
      </c>
      <c r="D105" s="227" t="s">
        <v>9</v>
      </c>
      <c r="E105" s="143"/>
      <c r="F105" s="143"/>
      <c r="G105" s="143"/>
      <c r="H105" s="143"/>
      <c r="IA105" s="145"/>
      <c r="IB105" s="145"/>
      <c r="IC105" s="145"/>
      <c r="ID105" s="145"/>
      <c r="IE105" s="146"/>
    </row>
    <row r="106" spans="1:239" s="144" customFormat="1" ht="15.75" hidden="1">
      <c r="A106" s="142"/>
      <c r="B106" s="225" t="s">
        <v>301</v>
      </c>
      <c r="C106" s="226">
        <v>0</v>
      </c>
      <c r="D106" s="227" t="s">
        <v>9</v>
      </c>
      <c r="E106" s="143"/>
      <c r="F106" s="143"/>
      <c r="G106" s="143"/>
      <c r="H106" s="143"/>
      <c r="IA106" s="145"/>
      <c r="IB106" s="145"/>
      <c r="IC106" s="145"/>
      <c r="ID106" s="145"/>
      <c r="IE106" s="146"/>
    </row>
    <row r="107" spans="1:239" s="144" customFormat="1" ht="15.75" hidden="1">
      <c r="A107" s="142"/>
      <c r="B107" s="225" t="s">
        <v>302</v>
      </c>
      <c r="C107" s="226">
        <v>0</v>
      </c>
      <c r="D107" s="227" t="s">
        <v>9</v>
      </c>
      <c r="E107" s="143"/>
      <c r="F107" s="143"/>
      <c r="G107" s="143"/>
      <c r="H107" s="143"/>
      <c r="IA107" s="145"/>
      <c r="IB107" s="145"/>
      <c r="IC107" s="145"/>
      <c r="ID107" s="145"/>
      <c r="IE107" s="146"/>
    </row>
    <row r="108" spans="1:239" s="144" customFormat="1" ht="15.75" hidden="1">
      <c r="A108" s="142"/>
      <c r="B108" s="225" t="s">
        <v>303</v>
      </c>
      <c r="C108" s="226">
        <v>2.9</v>
      </c>
      <c r="D108" s="227" t="s">
        <v>9</v>
      </c>
      <c r="E108" s="143"/>
      <c r="F108" s="143"/>
      <c r="G108" s="143"/>
      <c r="H108" s="143"/>
      <c r="IA108" s="145"/>
      <c r="IB108" s="145"/>
      <c r="IC108" s="145"/>
      <c r="ID108" s="145"/>
      <c r="IE108" s="146"/>
    </row>
    <row r="109" spans="1:239" s="144" customFormat="1" ht="15.75" hidden="1">
      <c r="A109" s="142"/>
      <c r="B109" s="225" t="s">
        <v>304</v>
      </c>
      <c r="C109" s="226">
        <v>0</v>
      </c>
      <c r="D109" s="227" t="s">
        <v>9</v>
      </c>
      <c r="E109" s="143"/>
      <c r="F109" s="143"/>
      <c r="G109" s="143"/>
      <c r="H109" s="143"/>
      <c r="IA109" s="145"/>
      <c r="IB109" s="145"/>
      <c r="IC109" s="145"/>
      <c r="ID109" s="145"/>
      <c r="IE109" s="146"/>
    </row>
    <row r="110" spans="1:239" s="144" customFormat="1" ht="15.75" hidden="1">
      <c r="A110" s="142"/>
      <c r="B110" s="225" t="s">
        <v>305</v>
      </c>
      <c r="C110" s="226">
        <v>0</v>
      </c>
      <c r="D110" s="227" t="s">
        <v>9</v>
      </c>
      <c r="E110" s="143"/>
      <c r="F110" s="143"/>
      <c r="G110" s="143"/>
      <c r="H110" s="143"/>
      <c r="IA110" s="145"/>
      <c r="IB110" s="145"/>
      <c r="IC110" s="145"/>
      <c r="ID110" s="145"/>
      <c r="IE110" s="146"/>
    </row>
    <row r="111" spans="1:239" s="144" customFormat="1" ht="15.75" hidden="1">
      <c r="A111" s="142"/>
      <c r="B111" s="225" t="s">
        <v>306</v>
      </c>
      <c r="C111" s="226">
        <v>0</v>
      </c>
      <c r="D111" s="227" t="s">
        <v>2</v>
      </c>
      <c r="E111" s="143"/>
      <c r="F111" s="143"/>
      <c r="G111" s="143"/>
      <c r="H111" s="143"/>
      <c r="IA111" s="145"/>
      <c r="IB111" s="145"/>
      <c r="IC111" s="145"/>
      <c r="ID111" s="145"/>
      <c r="IE111" s="146"/>
    </row>
    <row r="112" spans="1:239" s="144" customFormat="1" ht="15.75" hidden="1">
      <c r="A112" s="142"/>
      <c r="B112" s="225" t="s">
        <v>307</v>
      </c>
      <c r="C112" s="226">
        <v>0</v>
      </c>
      <c r="D112" s="227" t="s">
        <v>9</v>
      </c>
      <c r="E112" s="143"/>
      <c r="F112" s="143"/>
      <c r="G112" s="143"/>
      <c r="H112" s="143"/>
      <c r="IA112" s="145"/>
      <c r="IB112" s="145"/>
      <c r="IC112" s="145"/>
      <c r="ID112" s="145"/>
      <c r="IE112" s="146"/>
    </row>
    <row r="113" spans="1:239" s="144" customFormat="1" ht="15.75" hidden="1">
      <c r="A113" s="142"/>
      <c r="B113" s="225" t="s">
        <v>308</v>
      </c>
      <c r="C113" s="226">
        <v>0</v>
      </c>
      <c r="D113" s="227" t="s">
        <v>2</v>
      </c>
      <c r="E113" s="143"/>
      <c r="F113" s="143"/>
      <c r="G113" s="143"/>
      <c r="H113" s="143"/>
      <c r="IA113" s="145"/>
      <c r="IB113" s="145"/>
      <c r="IC113" s="145"/>
      <c r="ID113" s="145"/>
      <c r="IE113" s="146"/>
    </row>
    <row r="114" spans="1:239" s="144" customFormat="1" ht="15.75" hidden="1">
      <c r="A114" s="142"/>
      <c r="B114" s="225" t="s">
        <v>309</v>
      </c>
      <c r="C114" s="226">
        <v>0</v>
      </c>
      <c r="D114" s="227" t="s">
        <v>2</v>
      </c>
      <c r="E114" s="143"/>
      <c r="F114" s="143"/>
      <c r="G114" s="143"/>
      <c r="H114" s="143"/>
      <c r="IA114" s="145"/>
      <c r="IB114" s="145"/>
      <c r="IC114" s="145"/>
      <c r="ID114" s="145"/>
      <c r="IE114" s="146"/>
    </row>
    <row r="115" spans="1:239" s="144" customFormat="1" ht="15.75" hidden="1">
      <c r="A115" s="142"/>
      <c r="B115" s="225" t="s">
        <v>310</v>
      </c>
      <c r="C115" s="226">
        <v>0</v>
      </c>
      <c r="D115" s="227" t="s">
        <v>2</v>
      </c>
      <c r="E115" s="143"/>
      <c r="F115" s="143"/>
      <c r="G115" s="143"/>
      <c r="H115" s="143"/>
      <c r="IA115" s="145"/>
      <c r="IB115" s="145"/>
      <c r="IC115" s="145"/>
      <c r="ID115" s="145"/>
      <c r="IE115" s="146"/>
    </row>
    <row r="116" spans="1:239" s="144" customFormat="1" ht="15.75" hidden="1">
      <c r="A116" s="142"/>
      <c r="B116" s="225" t="s">
        <v>311</v>
      </c>
      <c r="C116" s="226">
        <v>0</v>
      </c>
      <c r="D116" s="227" t="s">
        <v>2</v>
      </c>
      <c r="E116" s="143"/>
      <c r="F116" s="143"/>
      <c r="G116" s="143"/>
      <c r="H116" s="143"/>
      <c r="IA116" s="145"/>
      <c r="IB116" s="145"/>
      <c r="IC116" s="145"/>
      <c r="ID116" s="145"/>
      <c r="IE116" s="146"/>
    </row>
    <row r="117" spans="1:239" s="144" customFormat="1" ht="15.75" hidden="1">
      <c r="A117" s="142"/>
      <c r="B117" s="225" t="s">
        <v>235</v>
      </c>
      <c r="C117" s="226">
        <v>7.8</v>
      </c>
      <c r="D117" s="227" t="s">
        <v>2</v>
      </c>
      <c r="E117" s="143"/>
      <c r="F117" s="143"/>
      <c r="G117" s="143"/>
      <c r="H117" s="143"/>
      <c r="IA117" s="145"/>
      <c r="IB117" s="145"/>
      <c r="IC117" s="145"/>
      <c r="ID117" s="145"/>
      <c r="IE117" s="146"/>
    </row>
    <row r="118" spans="1:239" s="144" customFormat="1" ht="15.75" hidden="1">
      <c r="A118" s="142"/>
      <c r="B118" s="225" t="s">
        <v>312</v>
      </c>
      <c r="C118" s="226">
        <v>0</v>
      </c>
      <c r="D118" s="227" t="s">
        <v>2</v>
      </c>
      <c r="E118" s="143"/>
      <c r="F118" s="143"/>
      <c r="G118" s="143"/>
      <c r="H118" s="143"/>
      <c r="IA118" s="145"/>
      <c r="IB118" s="145"/>
      <c r="IC118" s="145"/>
      <c r="ID118" s="145"/>
      <c r="IE118" s="146"/>
    </row>
    <row r="119" spans="1:239" s="144" customFormat="1" ht="15.75" hidden="1">
      <c r="A119" s="142"/>
      <c r="B119" s="225" t="s">
        <v>236</v>
      </c>
      <c r="C119" s="226">
        <v>2.4</v>
      </c>
      <c r="D119" s="227" t="s">
        <v>2</v>
      </c>
      <c r="E119" s="143"/>
      <c r="F119" s="143"/>
      <c r="G119" s="143"/>
      <c r="H119" s="143"/>
      <c r="IA119" s="145"/>
      <c r="IB119" s="145"/>
      <c r="IC119" s="145"/>
      <c r="ID119" s="145"/>
      <c r="IE119" s="146"/>
    </row>
    <row r="120" spans="1:239" s="144" customFormat="1" ht="15.75" hidden="1">
      <c r="A120" s="142"/>
      <c r="B120" s="225" t="s">
        <v>237</v>
      </c>
      <c r="C120" s="226">
        <v>0</v>
      </c>
      <c r="D120" s="227" t="s">
        <v>2</v>
      </c>
      <c r="E120" s="143"/>
      <c r="F120" s="143"/>
      <c r="G120" s="143"/>
      <c r="H120" s="143"/>
      <c r="IA120" s="145"/>
      <c r="IB120" s="145"/>
      <c r="IC120" s="145"/>
      <c r="ID120" s="145"/>
      <c r="IE120" s="146"/>
    </row>
    <row r="121" spans="1:239" s="144" customFormat="1" ht="15.75" hidden="1">
      <c r="A121" s="142"/>
      <c r="B121" s="225" t="s">
        <v>238</v>
      </c>
      <c r="C121" s="226">
        <v>0</v>
      </c>
      <c r="D121" s="227" t="s">
        <v>2</v>
      </c>
      <c r="E121" s="143"/>
      <c r="F121" s="143"/>
      <c r="G121" s="143"/>
      <c r="H121" s="143"/>
      <c r="IA121" s="145"/>
      <c r="IB121" s="145"/>
      <c r="IC121" s="145"/>
      <c r="ID121" s="145"/>
      <c r="IE121" s="146"/>
    </row>
    <row r="122" spans="1:239" s="144" customFormat="1" ht="15.75" hidden="1">
      <c r="A122" s="142"/>
      <c r="B122" s="225" t="s">
        <v>313</v>
      </c>
      <c r="C122" s="226">
        <v>0</v>
      </c>
      <c r="D122" s="227" t="s">
        <v>2</v>
      </c>
      <c r="E122" s="143"/>
      <c r="F122" s="143"/>
      <c r="G122" s="143"/>
      <c r="H122" s="143"/>
      <c r="IA122" s="145"/>
      <c r="IB122" s="145"/>
      <c r="IC122" s="145"/>
      <c r="ID122" s="145"/>
      <c r="IE122" s="146"/>
    </row>
    <row r="123" spans="1:239" s="144" customFormat="1" ht="15.75" hidden="1">
      <c r="A123" s="142"/>
      <c r="B123" s="225" t="s">
        <v>314</v>
      </c>
      <c r="C123" s="226">
        <f>(C122+0.06)*C124*4*C125</f>
        <v>0</v>
      </c>
      <c r="D123" s="227" t="s">
        <v>9</v>
      </c>
      <c r="E123" s="143"/>
      <c r="F123" s="143"/>
      <c r="G123" s="143"/>
      <c r="H123" s="143"/>
      <c r="IA123" s="145"/>
      <c r="IB123" s="145"/>
      <c r="IC123" s="145"/>
      <c r="ID123" s="145"/>
      <c r="IE123" s="146"/>
    </row>
    <row r="124" spans="1:239" s="144" customFormat="1" ht="15.75" hidden="1">
      <c r="A124" s="142"/>
      <c r="B124" s="225" t="s">
        <v>316</v>
      </c>
      <c r="C124" s="226">
        <v>0</v>
      </c>
      <c r="D124" s="227" t="s">
        <v>10</v>
      </c>
      <c r="E124" s="143"/>
      <c r="F124" s="143"/>
      <c r="G124" s="143"/>
      <c r="H124" s="143"/>
      <c r="IA124" s="145"/>
      <c r="IB124" s="145"/>
      <c r="IC124" s="145"/>
      <c r="ID124" s="145"/>
      <c r="IE124" s="146"/>
    </row>
    <row r="125" spans="1:239" s="144" customFormat="1" ht="15.75" hidden="1">
      <c r="A125" s="142"/>
      <c r="B125" s="225" t="s">
        <v>315</v>
      </c>
      <c r="C125" s="226">
        <v>0</v>
      </c>
      <c r="D125" s="227" t="s">
        <v>2</v>
      </c>
      <c r="E125" s="143"/>
      <c r="F125" s="143"/>
      <c r="G125" s="143"/>
      <c r="H125" s="143"/>
      <c r="IA125" s="145"/>
      <c r="IB125" s="145"/>
      <c r="IC125" s="145"/>
      <c r="ID125" s="145"/>
      <c r="IE125" s="146"/>
    </row>
    <row r="126" spans="1:239" s="144" customFormat="1" ht="15.75" hidden="1">
      <c r="A126" s="142"/>
      <c r="B126" s="225" t="s">
        <v>242</v>
      </c>
      <c r="C126" s="226">
        <v>0</v>
      </c>
      <c r="D126" s="227" t="s">
        <v>9</v>
      </c>
      <c r="E126" s="143"/>
      <c r="F126" s="143"/>
      <c r="G126" s="143"/>
      <c r="H126" s="143"/>
      <c r="IA126" s="145"/>
      <c r="IB126" s="145"/>
      <c r="IC126" s="145"/>
      <c r="ID126" s="145"/>
      <c r="IE126" s="146"/>
    </row>
    <row r="127" spans="1:239" s="144" customFormat="1" ht="15.75" hidden="1">
      <c r="A127" s="142"/>
      <c r="B127" s="225" t="s">
        <v>243</v>
      </c>
      <c r="C127" s="226">
        <v>0</v>
      </c>
      <c r="D127" s="227" t="s">
        <v>2</v>
      </c>
      <c r="E127" s="143"/>
      <c r="F127" s="143"/>
      <c r="G127" s="143"/>
      <c r="H127" s="143"/>
      <c r="IA127" s="145"/>
      <c r="IB127" s="145"/>
      <c r="IC127" s="145"/>
      <c r="ID127" s="145"/>
      <c r="IE127" s="146"/>
    </row>
    <row r="128" spans="1:239" s="144" customFormat="1" ht="15.75" hidden="1">
      <c r="A128" s="142"/>
      <c r="B128" s="225" t="s">
        <v>244</v>
      </c>
      <c r="C128" s="226">
        <v>0</v>
      </c>
      <c r="D128" s="227" t="s">
        <v>2</v>
      </c>
      <c r="E128" s="143"/>
      <c r="F128" s="143"/>
      <c r="G128" s="143"/>
      <c r="H128" s="143"/>
      <c r="IA128" s="145"/>
      <c r="IB128" s="145"/>
      <c r="IC128" s="145"/>
      <c r="ID128" s="145"/>
      <c r="IE128" s="146"/>
    </row>
    <row r="129" spans="1:239" s="144" customFormat="1" ht="15.75" hidden="1">
      <c r="A129" s="142"/>
      <c r="B129" s="225" t="s">
        <v>317</v>
      </c>
      <c r="C129" s="226">
        <v>0</v>
      </c>
      <c r="D129" s="227" t="s">
        <v>9</v>
      </c>
      <c r="E129" s="143"/>
      <c r="F129" s="143"/>
      <c r="G129" s="143"/>
      <c r="H129" s="143"/>
      <c r="IA129" s="145"/>
      <c r="IB129" s="145"/>
      <c r="IC129" s="145"/>
      <c r="ID129" s="145"/>
      <c r="IE129" s="146"/>
    </row>
    <row r="130" spans="1:239" s="144" customFormat="1" ht="15.75" hidden="1">
      <c r="A130" s="142"/>
      <c r="B130" s="225" t="s">
        <v>318</v>
      </c>
      <c r="C130" s="226">
        <v>0</v>
      </c>
      <c r="D130" s="227" t="s">
        <v>2</v>
      </c>
      <c r="E130" s="143"/>
      <c r="F130" s="143"/>
      <c r="G130" s="143"/>
      <c r="H130" s="143"/>
      <c r="IA130" s="145"/>
      <c r="IB130" s="145"/>
      <c r="IC130" s="145"/>
      <c r="ID130" s="145"/>
      <c r="IE130" s="146"/>
    </row>
    <row r="131" spans="1:239" s="144" customFormat="1" ht="15.75" hidden="1">
      <c r="A131" s="142"/>
      <c r="B131" s="225" t="s">
        <v>319</v>
      </c>
      <c r="C131" s="226">
        <f>(C103+C104+C105+C106+(C117)*0.15)-C108-C109-C110-C132</f>
        <v>34.470000000000006</v>
      </c>
      <c r="D131" s="227" t="s">
        <v>9</v>
      </c>
      <c r="E131" s="143"/>
      <c r="F131" s="143"/>
      <c r="G131" s="143"/>
      <c r="H131" s="143"/>
      <c r="IA131" s="145"/>
      <c r="IB131" s="145"/>
      <c r="IC131" s="145"/>
      <c r="ID131" s="145"/>
      <c r="IE131" s="146"/>
    </row>
    <row r="132" spans="1:239" s="144" customFormat="1" ht="15.75" hidden="1">
      <c r="A132" s="142"/>
      <c r="B132" s="225" t="s">
        <v>320</v>
      </c>
      <c r="C132" s="226">
        <f>C107+C118*0.15</f>
        <v>0</v>
      </c>
      <c r="D132" s="227" t="s">
        <v>9</v>
      </c>
      <c r="E132" s="143"/>
      <c r="F132" s="143"/>
      <c r="G132" s="143"/>
      <c r="H132" s="143"/>
      <c r="IA132" s="145"/>
      <c r="IB132" s="145"/>
      <c r="IC132" s="145"/>
      <c r="ID132" s="145"/>
      <c r="IE132" s="146"/>
    </row>
    <row r="133" spans="1:239" s="144" customFormat="1" ht="15.75" hidden="1">
      <c r="A133" s="142"/>
      <c r="B133" s="225" t="s">
        <v>321</v>
      </c>
      <c r="C133" s="226">
        <f>C113*C115+C114*C116+C109+C111*0.04</f>
        <v>0</v>
      </c>
      <c r="D133" s="227" t="s">
        <v>9</v>
      </c>
      <c r="E133" s="143"/>
      <c r="F133" s="143"/>
      <c r="G133" s="143"/>
      <c r="H133" s="143"/>
      <c r="IA133" s="145"/>
      <c r="IB133" s="145"/>
      <c r="IC133" s="145"/>
      <c r="ID133" s="145"/>
      <c r="IE133" s="146"/>
    </row>
    <row r="134" spans="1:239" s="144" customFormat="1" ht="15.75" hidden="1">
      <c r="A134" s="142"/>
      <c r="B134" s="225" t="s">
        <v>322</v>
      </c>
      <c r="C134" s="226">
        <f>C110+C112*0.04</f>
        <v>0</v>
      </c>
      <c r="D134" s="227" t="s">
        <v>1</v>
      </c>
      <c r="E134" s="143"/>
      <c r="F134" s="143"/>
      <c r="G134" s="143"/>
      <c r="H134" s="143"/>
      <c r="IA134" s="145"/>
      <c r="IB134" s="145"/>
      <c r="IC134" s="145"/>
      <c r="ID134" s="145"/>
      <c r="IE134" s="146"/>
    </row>
    <row r="136" spans="1:239" s="144" customFormat="1" ht="15.75">
      <c r="A136" s="150">
        <v>3</v>
      </c>
      <c r="B136" s="151" t="s">
        <v>323</v>
      </c>
      <c r="C136" s="152"/>
      <c r="D136" s="153"/>
      <c r="E136" s="154"/>
      <c r="F136" s="154"/>
      <c r="G136" s="154"/>
      <c r="H136" s="154"/>
      <c r="I136" s="143"/>
      <c r="IA136" s="145"/>
      <c r="IB136" s="145"/>
      <c r="IC136" s="145"/>
      <c r="ID136" s="145"/>
      <c r="IE136" s="146"/>
    </row>
    <row r="137" spans="1:239" s="144" customFormat="1" ht="15.75" hidden="1">
      <c r="A137" s="155"/>
      <c r="B137" s="156" t="s">
        <v>234</v>
      </c>
      <c r="C137" s="157">
        <f>SUMIF($B$4:$B$134,B137,$C$4:$C$134)</f>
        <v>0</v>
      </c>
      <c r="D137" s="158" t="s">
        <v>9</v>
      </c>
      <c r="E137" s="159"/>
      <c r="F137" s="159"/>
      <c r="G137" s="159"/>
      <c r="H137" s="159"/>
      <c r="I137" s="143"/>
      <c r="IA137" s="145"/>
      <c r="IB137" s="145"/>
      <c r="IC137" s="145"/>
      <c r="ID137" s="145"/>
      <c r="IE137" s="146"/>
    </row>
    <row r="138" spans="1:239" s="144" customFormat="1" ht="15.75" hidden="1">
      <c r="A138" s="155"/>
      <c r="B138" s="156" t="s">
        <v>298</v>
      </c>
      <c r="C138" s="157">
        <f>SUMIF($B$4:$B$134,B138,$C$4:$C$134)</f>
        <v>0</v>
      </c>
      <c r="D138" s="158" t="s">
        <v>9</v>
      </c>
      <c r="E138" s="159"/>
      <c r="F138" s="159"/>
      <c r="G138" s="159"/>
      <c r="H138" s="159"/>
      <c r="I138" s="143"/>
      <c r="IA138" s="145"/>
      <c r="IB138" s="145"/>
      <c r="IC138" s="145"/>
      <c r="ID138" s="145"/>
      <c r="IE138" s="146"/>
    </row>
    <row r="139" spans="1:239" s="144" customFormat="1" ht="15.75">
      <c r="A139" s="155"/>
      <c r="B139" s="156" t="s">
        <v>299</v>
      </c>
      <c r="C139" s="157">
        <f>SUMIF($B$4:$B$134,B139,$C$4:$C$134)</f>
        <v>142.3</v>
      </c>
      <c r="D139" s="158" t="s">
        <v>9</v>
      </c>
      <c r="E139" s="159"/>
      <c r="F139" s="159"/>
      <c r="G139" s="159"/>
      <c r="H139" s="159"/>
      <c r="I139" s="143"/>
      <c r="IA139" s="145"/>
      <c r="IB139" s="145"/>
      <c r="IC139" s="145"/>
      <c r="ID139" s="145"/>
      <c r="IE139" s="146"/>
    </row>
    <row r="140" spans="1:239" s="144" customFormat="1" ht="15.75" hidden="1">
      <c r="A140" s="155"/>
      <c r="B140" s="156" t="s">
        <v>300</v>
      </c>
      <c r="C140" s="157">
        <f>SUMIF($B$4:$B$134,B140,$C$4:$C$134)</f>
        <v>0</v>
      </c>
      <c r="D140" s="158" t="s">
        <v>9</v>
      </c>
      <c r="E140" s="159"/>
      <c r="F140" s="159"/>
      <c r="G140" s="159"/>
      <c r="H140" s="159"/>
      <c r="I140" s="143"/>
      <c r="IA140" s="145"/>
      <c r="IB140" s="145"/>
      <c r="IC140" s="145"/>
      <c r="ID140" s="145"/>
      <c r="IE140" s="146"/>
    </row>
    <row r="141" spans="1:239" s="144" customFormat="1" ht="15.75" hidden="1">
      <c r="A141" s="155"/>
      <c r="B141" s="156" t="s">
        <v>301</v>
      </c>
      <c r="C141" s="157">
        <f>SUMIF($B$4:$B$134,B141,$C$4:$C$134)</f>
        <v>0</v>
      </c>
      <c r="D141" s="158" t="s">
        <v>9</v>
      </c>
      <c r="E141" s="159"/>
      <c r="F141" s="159"/>
      <c r="G141" s="159"/>
      <c r="H141" s="159"/>
      <c r="I141" s="143"/>
      <c r="IA141" s="145"/>
      <c r="IB141" s="145"/>
      <c r="IC141" s="145"/>
      <c r="ID141" s="145"/>
      <c r="IE141" s="146"/>
    </row>
    <row r="142" spans="1:239" s="144" customFormat="1" ht="15.75">
      <c r="A142" s="155"/>
      <c r="B142" s="156" t="s">
        <v>235</v>
      </c>
      <c r="C142" s="157">
        <f>SUMIF($B$1:$B$133,"периметр откосов общий",$C$1:$C$133)</f>
        <v>51.89999999999999</v>
      </c>
      <c r="D142" s="158" t="s">
        <v>2</v>
      </c>
      <c r="E142" s="159"/>
      <c r="F142" s="159"/>
      <c r="G142" s="159"/>
      <c r="H142" s="159"/>
      <c r="I142" s="143"/>
      <c r="IA142" s="145"/>
      <c r="IB142" s="145"/>
      <c r="IC142" s="145"/>
      <c r="ID142" s="145"/>
      <c r="IE142" s="146"/>
    </row>
    <row r="143" spans="1:239" s="144" customFormat="1" ht="15.75">
      <c r="A143" s="155"/>
      <c r="B143" s="156" t="s">
        <v>236</v>
      </c>
      <c r="C143" s="157">
        <f>SUMIF($B$1:$B$133,"длина отливов",$C$1:$C$133)</f>
        <v>10.8</v>
      </c>
      <c r="D143" s="158" t="s">
        <v>2</v>
      </c>
      <c r="E143" s="159"/>
      <c r="F143" s="159"/>
      <c r="G143" s="159"/>
      <c r="H143" s="159"/>
      <c r="I143" s="143"/>
      <c r="IA143" s="145"/>
      <c r="IB143" s="145"/>
      <c r="IC143" s="145"/>
      <c r="ID143" s="145"/>
      <c r="IE143" s="146"/>
    </row>
    <row r="144" spans="1:239" s="144" customFormat="1" ht="15.75" hidden="1">
      <c r="A144" s="155"/>
      <c r="B144" s="156" t="s">
        <v>237</v>
      </c>
      <c r="C144" s="157">
        <f>SUMIF($B$1:$B$133,"длина наружных углов основного фасада",$C$1:$C$133)</f>
        <v>0</v>
      </c>
      <c r="D144" s="158" t="s">
        <v>2</v>
      </c>
      <c r="E144" s="159"/>
      <c r="F144" s="159"/>
      <c r="G144" s="159"/>
      <c r="H144" s="159"/>
      <c r="I144" s="143"/>
      <c r="IA144" s="145"/>
      <c r="IB144" s="145"/>
      <c r="IC144" s="145"/>
      <c r="ID144" s="145"/>
      <c r="IE144" s="146"/>
    </row>
    <row r="145" spans="1:239" s="144" customFormat="1" ht="15.75" hidden="1">
      <c r="A145" s="155"/>
      <c r="B145" s="156" t="s">
        <v>238</v>
      </c>
      <c r="C145" s="157">
        <f>SUMIF($B$1:$B$133,"длина внутренних углов основного фасада",$C$1:$C$133)</f>
        <v>0</v>
      </c>
      <c r="D145" s="158" t="s">
        <v>2</v>
      </c>
      <c r="E145" s="159"/>
      <c r="F145" s="159"/>
      <c r="G145" s="159"/>
      <c r="H145" s="159"/>
      <c r="I145" s="143"/>
      <c r="IA145" s="145"/>
      <c r="IB145" s="145"/>
      <c r="IC145" s="145"/>
      <c r="ID145" s="145"/>
      <c r="IE145" s="146"/>
    </row>
    <row r="146" spans="1:239" s="144" customFormat="1" ht="15.75">
      <c r="A146" s="147" t="s">
        <v>227</v>
      </c>
      <c r="B146" s="148" t="s">
        <v>228</v>
      </c>
      <c r="C146" s="148" t="s">
        <v>0</v>
      </c>
      <c r="D146" s="148" t="s">
        <v>239</v>
      </c>
      <c r="E146" s="149" t="s">
        <v>240</v>
      </c>
      <c r="F146" s="148" t="s">
        <v>231</v>
      </c>
      <c r="G146" s="148" t="s">
        <v>232</v>
      </c>
      <c r="H146" s="148" t="s">
        <v>233</v>
      </c>
      <c r="I146" s="143"/>
      <c r="IA146" s="145"/>
      <c r="IB146" s="145"/>
      <c r="IC146" s="145"/>
      <c r="ID146" s="145"/>
      <c r="IE146" s="146"/>
    </row>
    <row r="147" spans="1:239" s="144" customFormat="1" ht="15.75">
      <c r="A147" s="160">
        <f>SUBTOTAL(9,C138:C141)+A149</f>
        <v>151.705</v>
      </c>
      <c r="B147" s="161" t="str">
        <f>$B$214</f>
        <v>Грунт глубокопроникающий Unigrund Unikem</v>
      </c>
      <c r="C147" s="162" t="str">
        <f>$C$214</f>
        <v>л</v>
      </c>
      <c r="D147" s="163">
        <f>$D$214</f>
        <v>1</v>
      </c>
      <c r="E147" s="163">
        <v>0.2</v>
      </c>
      <c r="F147" s="163">
        <f aca="true" t="shared" si="0" ref="F147:F160">A147*E147/D147</f>
        <v>30.341000000000005</v>
      </c>
      <c r="G147" s="164">
        <f>$G$214</f>
        <v>9.6</v>
      </c>
      <c r="H147" s="164">
        <f>G147*F147</f>
        <v>291.27360000000004</v>
      </c>
      <c r="I147" s="143" t="s">
        <v>51</v>
      </c>
      <c r="IA147" s="145"/>
      <c r="IB147" s="145"/>
      <c r="IC147" s="145"/>
      <c r="ID147" s="145"/>
      <c r="IE147" s="146"/>
    </row>
    <row r="148" spans="1:239" s="144" customFormat="1" ht="15">
      <c r="A148" s="216">
        <f>SUBTOTAL(9,C138:C141)+A149</f>
        <v>151.705</v>
      </c>
      <c r="B148" s="165" t="str">
        <f>$B$223</f>
        <v>Клей для приклеивания пенополистирольных и минватных плит Dops ThermFix</v>
      </c>
      <c r="C148" s="166" t="str">
        <f>$C$223</f>
        <v>кг</v>
      </c>
      <c r="D148" s="163">
        <f>$D$223</f>
        <v>1</v>
      </c>
      <c r="E148" s="163">
        <v>6</v>
      </c>
      <c r="F148" s="163">
        <f t="shared" si="0"/>
        <v>910.23</v>
      </c>
      <c r="G148" s="164">
        <f>$G$223</f>
        <v>3.48</v>
      </c>
      <c r="H148" s="164">
        <f aca="true" t="shared" si="1" ref="H148:H153">F148*G148</f>
        <v>3167.6004000000003</v>
      </c>
      <c r="I148" s="143" t="s">
        <v>51</v>
      </c>
      <c r="IA148" s="145"/>
      <c r="IB148" s="145"/>
      <c r="IC148" s="145"/>
      <c r="ID148" s="145"/>
      <c r="IE148" s="146"/>
    </row>
    <row r="149" spans="1:239" s="144" customFormat="1" ht="15">
      <c r="A149" s="160">
        <f>(C142+C143)*0.15</f>
        <v>9.404999999999998</v>
      </c>
      <c r="B149" s="165" t="str">
        <f>$B$229</f>
        <v>Пенополистирол 25П d=50мм 16кг/м3 </v>
      </c>
      <c r="C149" s="166" t="str">
        <f>$C$229</f>
        <v>м2</v>
      </c>
      <c r="D149" s="163">
        <f>$D$229</f>
        <v>1</v>
      </c>
      <c r="E149" s="163">
        <v>1.05</v>
      </c>
      <c r="F149" s="163">
        <f t="shared" si="0"/>
        <v>9.875249999999998</v>
      </c>
      <c r="G149" s="164">
        <f>$G$229</f>
        <v>57.65</v>
      </c>
      <c r="H149" s="164">
        <f t="shared" si="1"/>
        <v>569.3081624999999</v>
      </c>
      <c r="I149" s="143" t="s">
        <v>51</v>
      </c>
      <c r="IA149" s="145"/>
      <c r="IB149" s="145"/>
      <c r="IC149" s="145"/>
      <c r="ID149" s="145"/>
      <c r="IE149" s="146"/>
    </row>
    <row r="150" spans="1:239" s="144" customFormat="1" ht="15.75" hidden="1">
      <c r="A150" s="160">
        <f>C138</f>
        <v>0</v>
      </c>
      <c r="B150" s="165" t="str">
        <f>$B$231</f>
        <v>Пенополистирол 25П d=80мм 16кг/м3 </v>
      </c>
      <c r="C150" s="166" t="str">
        <f>$C$231</f>
        <v>м2</v>
      </c>
      <c r="D150" s="163">
        <f>$D$231</f>
        <v>1</v>
      </c>
      <c r="E150" s="163">
        <v>1.05</v>
      </c>
      <c r="F150" s="163">
        <f t="shared" si="0"/>
        <v>0</v>
      </c>
      <c r="G150" s="164">
        <f>$G$231</f>
        <v>92.24000000000001</v>
      </c>
      <c r="H150" s="164">
        <f t="shared" si="1"/>
        <v>0</v>
      </c>
      <c r="I150" s="143" t="s">
        <v>51</v>
      </c>
      <c r="IA150" s="145"/>
      <c r="IB150" s="145"/>
      <c r="IC150" s="145"/>
      <c r="ID150" s="145"/>
      <c r="IE150" s="146"/>
    </row>
    <row r="151" spans="1:239" s="144" customFormat="1" ht="15">
      <c r="A151" s="160">
        <f>C139</f>
        <v>142.3</v>
      </c>
      <c r="B151" s="165" t="str">
        <f>$B$232</f>
        <v>Пенополистирол 25П d=100мм 16кг/м3 </v>
      </c>
      <c r="C151" s="166" t="str">
        <f>$C$232</f>
        <v>м2</v>
      </c>
      <c r="D151" s="163">
        <f>$D$232</f>
        <v>1</v>
      </c>
      <c r="E151" s="163">
        <v>1.05</v>
      </c>
      <c r="F151" s="163">
        <f t="shared" si="0"/>
        <v>149.41500000000002</v>
      </c>
      <c r="G151" s="164">
        <f>$G$232</f>
        <v>115.3</v>
      </c>
      <c r="H151" s="164">
        <f t="shared" si="1"/>
        <v>17227.5495</v>
      </c>
      <c r="I151" s="143" t="s">
        <v>51</v>
      </c>
      <c r="IA151" s="145"/>
      <c r="IB151" s="145"/>
      <c r="IC151" s="145"/>
      <c r="ID151" s="145"/>
      <c r="IE151" s="146"/>
    </row>
    <row r="152" spans="1:239" s="144" customFormat="1" ht="15.75" hidden="1">
      <c r="A152" s="160">
        <f>C140</f>
        <v>0</v>
      </c>
      <c r="B152" s="165" t="str">
        <f>$B$233</f>
        <v>Пенополистирол 25П d=120мм 16кг/м3 </v>
      </c>
      <c r="C152" s="166" t="str">
        <f>$C$233</f>
        <v>м2</v>
      </c>
      <c r="D152" s="163">
        <f>$D$233</f>
        <v>1</v>
      </c>
      <c r="E152" s="163">
        <v>1.05</v>
      </c>
      <c r="F152" s="163">
        <f t="shared" si="0"/>
        <v>0</v>
      </c>
      <c r="G152" s="164">
        <f>$G$233</f>
        <v>138.35999999999999</v>
      </c>
      <c r="H152" s="164">
        <f t="shared" si="1"/>
        <v>0</v>
      </c>
      <c r="I152" s="143" t="s">
        <v>51</v>
      </c>
      <c r="IA152" s="145"/>
      <c r="IB152" s="145"/>
      <c r="IC152" s="145"/>
      <c r="ID152" s="145"/>
      <c r="IE152" s="146"/>
    </row>
    <row r="153" spans="1:239" s="144" customFormat="1" ht="15.75" hidden="1">
      <c r="A153" s="160">
        <f>C141</f>
        <v>0</v>
      </c>
      <c r="B153" s="165" t="str">
        <f>$B$234</f>
        <v>Пенополистирол 25П d=140мм 16кг/м3 </v>
      </c>
      <c r="C153" s="166" t="str">
        <f>$C$234</f>
        <v>м2</v>
      </c>
      <c r="D153" s="163">
        <f>$D$234</f>
        <v>1</v>
      </c>
      <c r="E153" s="163">
        <v>1.05</v>
      </c>
      <c r="F153" s="163">
        <f t="shared" si="0"/>
        <v>0</v>
      </c>
      <c r="G153" s="164">
        <f>$G$234</f>
        <v>161.42</v>
      </c>
      <c r="H153" s="164">
        <f t="shared" si="1"/>
        <v>0</v>
      </c>
      <c r="I153" s="143" t="s">
        <v>51</v>
      </c>
      <c r="IA153" s="145"/>
      <c r="IB153" s="145"/>
      <c r="IC153" s="145"/>
      <c r="ID153" s="145"/>
      <c r="IE153" s="146"/>
    </row>
    <row r="154" spans="1:239" s="144" customFormat="1" ht="15">
      <c r="A154" s="160">
        <f>SUBTOTAL(9,C138:C141)</f>
        <v>142.3</v>
      </c>
      <c r="B154" s="165" t="str">
        <f>$B$218</f>
        <v>Дюбель 10*180 с пластиковым гвоздем</v>
      </c>
      <c r="C154" s="162" t="str">
        <f>$C$218</f>
        <v>шт</v>
      </c>
      <c r="D154" s="163">
        <f>$D$218</f>
        <v>1</v>
      </c>
      <c r="E154" s="163">
        <v>8</v>
      </c>
      <c r="F154" s="163">
        <f t="shared" si="0"/>
        <v>1138.4</v>
      </c>
      <c r="G154" s="164">
        <f>$G$218</f>
        <v>1.4</v>
      </c>
      <c r="H154" s="164">
        <f>G154*F154</f>
        <v>1593.76</v>
      </c>
      <c r="I154" s="143" t="s">
        <v>51</v>
      </c>
      <c r="IA154" s="145"/>
      <c r="IB154" s="145"/>
      <c r="IC154" s="145"/>
      <c r="ID154" s="145"/>
      <c r="IE154" s="146"/>
    </row>
    <row r="155" spans="1:239" s="144" customFormat="1" ht="15">
      <c r="A155" s="160">
        <f>SUBTOTAL(9,C138:C141)+A149</f>
        <v>151.705</v>
      </c>
      <c r="B155" s="165" t="str">
        <f>$B$222</f>
        <v>Клей для армирования пеностирольных и минватных плит Dops MultiFix</v>
      </c>
      <c r="C155" s="166" t="str">
        <f>$C$222</f>
        <v>кг</v>
      </c>
      <c r="D155" s="163">
        <f>$D$222</f>
        <v>1</v>
      </c>
      <c r="E155" s="163">
        <v>5</v>
      </c>
      <c r="F155" s="163">
        <f t="shared" si="0"/>
        <v>758.5250000000001</v>
      </c>
      <c r="G155" s="164">
        <f>$G$222</f>
        <v>4.6</v>
      </c>
      <c r="H155" s="164">
        <f aca="true" t="shared" si="2" ref="H155:H160">F155*G155</f>
        <v>3489.215</v>
      </c>
      <c r="I155" s="143" t="s">
        <v>51</v>
      </c>
      <c r="IA155" s="145"/>
      <c r="IB155" s="145"/>
      <c r="IC155" s="145"/>
      <c r="ID155" s="145"/>
      <c r="IE155" s="146"/>
    </row>
    <row r="156" spans="1:239" s="144" customFormat="1" ht="15">
      <c r="A156" s="160">
        <f>SUBTOTAL(9,C138:C141)</f>
        <v>142.3</v>
      </c>
      <c r="B156" s="167" t="str">
        <f>$B$243</f>
        <v>Стеклосетка армированная 160 Politem</v>
      </c>
      <c r="C156" s="166" t="str">
        <f>$C$243</f>
        <v>м2</v>
      </c>
      <c r="D156" s="163">
        <f>$D$243</f>
        <v>1</v>
      </c>
      <c r="E156" s="163">
        <v>1.2</v>
      </c>
      <c r="F156" s="163">
        <f t="shared" si="0"/>
        <v>170.76000000000002</v>
      </c>
      <c r="G156" s="164">
        <f>$G$243</f>
        <v>13.6</v>
      </c>
      <c r="H156" s="164">
        <f t="shared" si="2"/>
        <v>2322.3360000000002</v>
      </c>
      <c r="I156" s="143" t="s">
        <v>51</v>
      </c>
      <c r="IA156" s="145"/>
      <c r="IB156" s="145"/>
      <c r="IC156" s="145"/>
      <c r="ID156" s="145"/>
      <c r="IE156" s="146"/>
    </row>
    <row r="157" spans="1:239" s="144" customFormat="1" ht="15.75">
      <c r="A157" s="160">
        <f>A159*0.2+A158*0.4</f>
        <v>10.379999999999999</v>
      </c>
      <c r="B157" s="165" t="str">
        <f>$B$222</f>
        <v>Клей для армирования пеностирольных и минватных плит Dops MultiFix</v>
      </c>
      <c r="C157" s="166" t="str">
        <f>$C$222</f>
        <v>кг</v>
      </c>
      <c r="D157" s="163">
        <f>$D$222</f>
        <v>1</v>
      </c>
      <c r="E157" s="163">
        <v>5</v>
      </c>
      <c r="F157" s="163">
        <f t="shared" si="0"/>
        <v>51.89999999999999</v>
      </c>
      <c r="G157" s="164">
        <f>$G$222</f>
        <v>4.6</v>
      </c>
      <c r="H157" s="164">
        <f t="shared" si="2"/>
        <v>238.73999999999995</v>
      </c>
      <c r="I157" s="143" t="s">
        <v>51</v>
      </c>
      <c r="IA157" s="145"/>
      <c r="IB157" s="145"/>
      <c r="IC157" s="145"/>
      <c r="ID157" s="145"/>
      <c r="IE157" s="146"/>
    </row>
    <row r="158" spans="1:239" s="144" customFormat="1" ht="15.75" hidden="1">
      <c r="A158" s="160">
        <f>C145*0.4</f>
        <v>0</v>
      </c>
      <c r="B158" s="167" t="str">
        <f>$B$243</f>
        <v>Стеклосетка армированная 160 Politem</v>
      </c>
      <c r="C158" s="166" t="str">
        <f>$C$243</f>
        <v>м2</v>
      </c>
      <c r="D158" s="163">
        <f>$D$243</f>
        <v>1</v>
      </c>
      <c r="E158" s="163">
        <v>1.2</v>
      </c>
      <c r="F158" s="163">
        <f t="shared" si="0"/>
        <v>0</v>
      </c>
      <c r="G158" s="164">
        <f>$G$243</f>
        <v>13.6</v>
      </c>
      <c r="H158" s="164">
        <f t="shared" si="2"/>
        <v>0</v>
      </c>
      <c r="I158" s="143" t="s">
        <v>51</v>
      </c>
      <c r="IA158" s="145"/>
      <c r="IB158" s="145"/>
      <c r="IC158" s="145"/>
      <c r="ID158" s="145"/>
      <c r="IE158" s="146"/>
    </row>
    <row r="159" spans="1:239" s="144" customFormat="1" ht="15.75">
      <c r="A159" s="160">
        <f>C142+C144</f>
        <v>51.89999999999999</v>
      </c>
      <c r="B159" s="165" t="str">
        <f>$B$246</f>
        <v>Угол ПВХ 2,6м с сеткой 10*15 см VIP</v>
      </c>
      <c r="C159" s="166" t="str">
        <f>$C$246</f>
        <v>м.п.</v>
      </c>
      <c r="D159" s="163">
        <f>$D$246</f>
        <v>1</v>
      </c>
      <c r="E159" s="163">
        <v>1.05</v>
      </c>
      <c r="F159" s="163">
        <f t="shared" si="0"/>
        <v>54.49499999999999</v>
      </c>
      <c r="G159" s="164">
        <f>$G$246</f>
        <v>9.615384615384615</v>
      </c>
      <c r="H159" s="164">
        <f t="shared" si="2"/>
        <v>523.9903846153845</v>
      </c>
      <c r="I159" s="143" t="s">
        <v>51</v>
      </c>
      <c r="IA159" s="145"/>
      <c r="IB159" s="145"/>
      <c r="IC159" s="145"/>
      <c r="ID159" s="145"/>
      <c r="IE159" s="146"/>
    </row>
    <row r="160" spans="1:239" s="144" customFormat="1" ht="15.75">
      <c r="A160" s="160">
        <f>$C$142</f>
        <v>51.89999999999999</v>
      </c>
      <c r="B160" s="168" t="str">
        <f>$B$241</f>
        <v>Приоконная планка 2,5м</v>
      </c>
      <c r="C160" s="166" t="str">
        <f>$C$241</f>
        <v>м.п.</v>
      </c>
      <c r="D160" s="169">
        <f>$D$241</f>
        <v>1</v>
      </c>
      <c r="E160" s="163">
        <v>1.05</v>
      </c>
      <c r="F160" s="163">
        <f t="shared" si="0"/>
        <v>54.49499999999999</v>
      </c>
      <c r="G160" s="164">
        <f>$G$241</f>
        <v>34.17</v>
      </c>
      <c r="H160" s="164">
        <f t="shared" si="2"/>
        <v>1862.0941499999997</v>
      </c>
      <c r="I160" s="143" t="s">
        <v>51</v>
      </c>
      <c r="IA160" s="145"/>
      <c r="IB160" s="145"/>
      <c r="IC160" s="145"/>
      <c r="ID160" s="145"/>
      <c r="IE160" s="146"/>
    </row>
    <row r="161" spans="1:239" s="144" customFormat="1" ht="15.75">
      <c r="A161" s="170"/>
      <c r="B161" s="171" t="s">
        <v>241</v>
      </c>
      <c r="C161" s="170"/>
      <c r="D161" s="170"/>
      <c r="E161" s="172"/>
      <c r="F161" s="173"/>
      <c r="G161" s="173"/>
      <c r="H161" s="174">
        <f>SUM(H147:H160)</f>
        <v>31285.867197115385</v>
      </c>
      <c r="I161" s="143"/>
      <c r="IA161" s="145"/>
      <c r="IB161" s="145"/>
      <c r="IC161" s="145"/>
      <c r="ID161" s="145"/>
      <c r="IE161" s="146"/>
    </row>
    <row r="162" spans="1:239" s="144" customFormat="1" ht="15.75" customHeight="1">
      <c r="A162" s="150">
        <v>7</v>
      </c>
      <c r="B162" s="266" t="s">
        <v>324</v>
      </c>
      <c r="C162" s="266"/>
      <c r="D162" s="266"/>
      <c r="E162" s="266"/>
      <c r="F162" s="266"/>
      <c r="G162" s="266"/>
      <c r="H162" s="154"/>
      <c r="I162" s="143"/>
      <c r="IA162" s="145"/>
      <c r="IB162" s="145"/>
      <c r="IC162" s="145"/>
      <c r="ID162" s="145"/>
      <c r="IE162" s="146"/>
    </row>
    <row r="163" spans="1:239" s="144" customFormat="1" ht="15.75">
      <c r="A163" s="155"/>
      <c r="B163" s="156" t="s">
        <v>319</v>
      </c>
      <c r="C163" s="157">
        <f>SUMIF($B$1:$B$133,"ФК1",$C$1:$C$133)</f>
        <v>137.285</v>
      </c>
      <c r="D163" s="158" t="s">
        <v>9</v>
      </c>
      <c r="E163" s="159"/>
      <c r="F163" s="159"/>
      <c r="G163" s="159"/>
      <c r="H163" s="159"/>
      <c r="I163" s="143"/>
      <c r="IA163" s="145"/>
      <c r="IB163" s="145"/>
      <c r="IC163" s="145"/>
      <c r="ID163" s="145"/>
      <c r="IE163" s="146"/>
    </row>
    <row r="164" spans="1:239" s="144" customFormat="1" ht="15.75">
      <c r="A164" s="147" t="s">
        <v>227</v>
      </c>
      <c r="B164" s="148" t="s">
        <v>228</v>
      </c>
      <c r="C164" s="148" t="s">
        <v>0</v>
      </c>
      <c r="D164" s="148" t="s">
        <v>239</v>
      </c>
      <c r="E164" s="149" t="s">
        <v>240</v>
      </c>
      <c r="F164" s="148" t="s">
        <v>231</v>
      </c>
      <c r="G164" s="148" t="s">
        <v>232</v>
      </c>
      <c r="H164" s="148" t="s">
        <v>233</v>
      </c>
      <c r="I164" s="143"/>
      <c r="IA164" s="145"/>
      <c r="IB164" s="145"/>
      <c r="IC164" s="145"/>
      <c r="ID164" s="145"/>
      <c r="IE164" s="146"/>
    </row>
    <row r="165" spans="1:239" s="144" customFormat="1" ht="15.75">
      <c r="A165" s="160">
        <f>C163</f>
        <v>137.285</v>
      </c>
      <c r="B165" s="165" t="str">
        <f>$B$213</f>
        <v>Грунт кварцевый на силиконовой основе - Kematerm Grund 210</v>
      </c>
      <c r="C165" s="162" t="str">
        <f>$C$213</f>
        <v>кг</v>
      </c>
      <c r="D165" s="163">
        <f>$D$213</f>
        <v>1</v>
      </c>
      <c r="E165" s="163">
        <v>0.25</v>
      </c>
      <c r="F165" s="163">
        <f>A165*E165/D165</f>
        <v>34.32125</v>
      </c>
      <c r="G165" s="164">
        <f>$G$213</f>
        <v>34</v>
      </c>
      <c r="H165" s="164">
        <f>F165*G165</f>
        <v>1166.9225</v>
      </c>
      <c r="I165" s="143" t="s">
        <v>51</v>
      </c>
      <c r="IA165" s="145"/>
      <c r="IB165" s="145"/>
      <c r="IC165" s="145"/>
      <c r="ID165" s="145"/>
      <c r="IE165" s="146"/>
    </row>
    <row r="166" spans="1:239" s="144" customFormat="1" ht="15.75">
      <c r="A166" s="160">
        <f>C163</f>
        <v>137.285</v>
      </c>
      <c r="B166" s="165" t="str">
        <f>$B$249</f>
        <v>Штукатурка силиконовая Baumit Silikon Top 3,0 мм короед, 25кг</v>
      </c>
      <c r="C166" s="166" t="str">
        <f>$C$249</f>
        <v>кг</v>
      </c>
      <c r="D166" s="163">
        <f>$D$249</f>
        <v>1</v>
      </c>
      <c r="E166" s="163">
        <v>3.95</v>
      </c>
      <c r="F166" s="163">
        <f>A166*E166/D166</f>
        <v>542.27575</v>
      </c>
      <c r="G166" s="164">
        <f>$G$249</f>
        <v>56</v>
      </c>
      <c r="H166" s="164">
        <f>F166*G166</f>
        <v>30367.442000000003</v>
      </c>
      <c r="I166" s="143" t="s">
        <v>51</v>
      </c>
      <c r="IA166" s="145"/>
      <c r="IB166" s="145"/>
      <c r="IC166" s="145"/>
      <c r="ID166" s="145"/>
      <c r="IE166" s="146"/>
    </row>
    <row r="167" spans="1:239" s="144" customFormat="1" ht="15.75">
      <c r="A167" s="170"/>
      <c r="B167" s="171" t="s">
        <v>241</v>
      </c>
      <c r="C167" s="170"/>
      <c r="D167" s="170"/>
      <c r="E167" s="172"/>
      <c r="F167" s="173"/>
      <c r="G167" s="173"/>
      <c r="H167" s="174">
        <f>SUM(H165:H166)</f>
        <v>31534.364500000003</v>
      </c>
      <c r="I167" s="143"/>
      <c r="IA167" s="145"/>
      <c r="IB167" s="145"/>
      <c r="IC167" s="145"/>
      <c r="ID167" s="145"/>
      <c r="IE167" s="146"/>
    </row>
    <row r="168" spans="1:239" s="144" customFormat="1" ht="15.75" customHeight="1">
      <c r="A168" s="150">
        <v>8</v>
      </c>
      <c r="B168" s="266" t="s">
        <v>325</v>
      </c>
      <c r="C168" s="266"/>
      <c r="D168" s="266"/>
      <c r="E168" s="266"/>
      <c r="F168" s="266"/>
      <c r="G168" s="266"/>
      <c r="H168" s="154"/>
      <c r="I168" s="143"/>
      <c r="IA168" s="145"/>
      <c r="IB168" s="145"/>
      <c r="IC168" s="145"/>
      <c r="ID168" s="145"/>
      <c r="IE168" s="146"/>
    </row>
    <row r="169" spans="1:239" s="144" customFormat="1" ht="15.75">
      <c r="A169" s="155"/>
      <c r="B169" s="156" t="s">
        <v>320</v>
      </c>
      <c r="C169" s="157">
        <f>SUMIF($B$1:$B$133,"ФК2",$C$1:$C$133)</f>
        <v>0</v>
      </c>
      <c r="D169" s="158" t="s">
        <v>9</v>
      </c>
      <c r="E169" s="159"/>
      <c r="F169" s="159"/>
      <c r="G169" s="159"/>
      <c r="H169" s="159"/>
      <c r="I169" s="143"/>
      <c r="IA169" s="145"/>
      <c r="IB169" s="145"/>
      <c r="IC169" s="145"/>
      <c r="ID169" s="145"/>
      <c r="IE169" s="146"/>
    </row>
    <row r="170" spans="1:239" s="144" customFormat="1" ht="15.75" hidden="1">
      <c r="A170" s="147" t="s">
        <v>227</v>
      </c>
      <c r="B170" s="148" t="s">
        <v>228</v>
      </c>
      <c r="C170" s="148" t="s">
        <v>0</v>
      </c>
      <c r="D170" s="148" t="s">
        <v>239</v>
      </c>
      <c r="E170" s="149" t="s">
        <v>240</v>
      </c>
      <c r="F170" s="148" t="s">
        <v>231</v>
      </c>
      <c r="G170" s="148" t="s">
        <v>232</v>
      </c>
      <c r="H170" s="148" t="s">
        <v>233</v>
      </c>
      <c r="I170" s="143"/>
      <c r="IA170" s="145"/>
      <c r="IB170" s="145"/>
      <c r="IC170" s="145"/>
      <c r="ID170" s="145"/>
      <c r="IE170" s="146"/>
    </row>
    <row r="171" spans="1:239" s="144" customFormat="1" ht="15.75" hidden="1">
      <c r="A171" s="160">
        <f>C169</f>
        <v>0</v>
      </c>
      <c r="B171" s="165" t="str">
        <f>$B$213</f>
        <v>Грунт кварцевый на силиконовой основе - Kematerm Grund 210</v>
      </c>
      <c r="C171" s="162" t="str">
        <f>$C$213</f>
        <v>кг</v>
      </c>
      <c r="D171" s="163">
        <f>$D$213</f>
        <v>1</v>
      </c>
      <c r="E171" s="163">
        <v>0.25</v>
      </c>
      <c r="F171" s="163">
        <f>A171*E171/D171</f>
        <v>0</v>
      </c>
      <c r="G171" s="164">
        <f>$G$213</f>
        <v>34</v>
      </c>
      <c r="H171" s="164">
        <f>F171*G171</f>
        <v>0</v>
      </c>
      <c r="I171" s="143" t="s">
        <v>51</v>
      </c>
      <c r="IA171" s="145"/>
      <c r="IB171" s="145"/>
      <c r="IC171" s="145"/>
      <c r="ID171" s="145"/>
      <c r="IE171" s="146"/>
    </row>
    <row r="172" spans="1:239" s="144" customFormat="1" ht="15.75" hidden="1">
      <c r="A172" s="160">
        <f>C169</f>
        <v>0</v>
      </c>
      <c r="B172" s="165" t="str">
        <f>$B$249</f>
        <v>Штукатурка силиконовая Baumit Silikon Top 3,0 мм короед, 25кг</v>
      </c>
      <c r="C172" s="166" t="str">
        <f>$C$249</f>
        <v>кг</v>
      </c>
      <c r="D172" s="163">
        <f>$D$249</f>
        <v>1</v>
      </c>
      <c r="E172" s="163">
        <v>3.95</v>
      </c>
      <c r="F172" s="163">
        <f>A172*E172/D172</f>
        <v>0</v>
      </c>
      <c r="G172" s="164">
        <f>$G$249</f>
        <v>56</v>
      </c>
      <c r="H172" s="164">
        <f>F172*G172</f>
        <v>0</v>
      </c>
      <c r="I172" s="143" t="s">
        <v>51</v>
      </c>
      <c r="IA172" s="145"/>
      <c r="IB172" s="145"/>
      <c r="IC172" s="145"/>
      <c r="ID172" s="145"/>
      <c r="IE172" s="146"/>
    </row>
    <row r="173" spans="1:239" s="144" customFormat="1" ht="15.75" hidden="1">
      <c r="A173" s="170"/>
      <c r="B173" s="171" t="s">
        <v>241</v>
      </c>
      <c r="C173" s="170"/>
      <c r="D173" s="170"/>
      <c r="E173" s="172"/>
      <c r="F173" s="173"/>
      <c r="G173" s="173"/>
      <c r="H173" s="174">
        <f>SUM(H171:H172)</f>
        <v>0</v>
      </c>
      <c r="I173" s="143"/>
      <c r="IA173" s="145"/>
      <c r="IB173" s="145"/>
      <c r="IC173" s="145"/>
      <c r="ID173" s="145"/>
      <c r="IE173" s="146"/>
    </row>
    <row r="174" spans="1:239" s="144" customFormat="1" ht="15.75" customHeight="1" hidden="1">
      <c r="A174" s="150">
        <v>9</v>
      </c>
      <c r="B174" s="266" t="s">
        <v>326</v>
      </c>
      <c r="C174" s="266"/>
      <c r="D174" s="266"/>
      <c r="E174" s="266"/>
      <c r="F174" s="266"/>
      <c r="G174" s="266"/>
      <c r="H174" s="154"/>
      <c r="I174" s="143"/>
      <c r="IA174" s="145"/>
      <c r="IB174" s="145"/>
      <c r="IC174" s="145"/>
      <c r="ID174" s="145"/>
      <c r="IE174" s="146"/>
    </row>
    <row r="175" spans="1:239" s="144" customFormat="1" ht="15.75" hidden="1">
      <c r="A175" s="155"/>
      <c r="B175" s="156" t="s">
        <v>321</v>
      </c>
      <c r="C175" s="157">
        <f>SUMIF($B$1:$B$133,"ФБ1",$C$1:$C$133)</f>
        <v>0</v>
      </c>
      <c r="D175" s="158" t="s">
        <v>9</v>
      </c>
      <c r="E175" s="159"/>
      <c r="F175" s="159"/>
      <c r="G175" s="159"/>
      <c r="H175" s="159"/>
      <c r="I175" s="143"/>
      <c r="IA175" s="145"/>
      <c r="IB175" s="145"/>
      <c r="IC175" s="145"/>
      <c r="ID175" s="145"/>
      <c r="IE175" s="146"/>
    </row>
    <row r="176" spans="1:239" s="144" customFormat="1" ht="15.75" hidden="1">
      <c r="A176" s="147" t="s">
        <v>227</v>
      </c>
      <c r="B176" s="148" t="s">
        <v>228</v>
      </c>
      <c r="C176" s="148" t="s">
        <v>0</v>
      </c>
      <c r="D176" s="148" t="s">
        <v>239</v>
      </c>
      <c r="E176" s="149" t="s">
        <v>240</v>
      </c>
      <c r="F176" s="148" t="s">
        <v>231</v>
      </c>
      <c r="G176" s="148" t="s">
        <v>232</v>
      </c>
      <c r="H176" s="148" t="s">
        <v>233</v>
      </c>
      <c r="I176" s="143"/>
      <c r="IA176" s="145"/>
      <c r="IB176" s="145"/>
      <c r="IC176" s="145"/>
      <c r="ID176" s="145"/>
      <c r="IE176" s="146"/>
    </row>
    <row r="177" spans="1:239" s="144" customFormat="1" ht="15.75" hidden="1">
      <c r="A177" s="160">
        <f>C175</f>
        <v>0</v>
      </c>
      <c r="B177" s="165" t="str">
        <f>$B$213</f>
        <v>Грунт кварцевый на силиконовой основе - Kematerm Grund 210</v>
      </c>
      <c r="C177" s="162" t="str">
        <f>$C$213</f>
        <v>кг</v>
      </c>
      <c r="D177" s="163">
        <f>$D$213</f>
        <v>1</v>
      </c>
      <c r="E177" s="163">
        <v>0.25</v>
      </c>
      <c r="F177" s="163">
        <f>A177*E177/D177</f>
        <v>0</v>
      </c>
      <c r="G177" s="164">
        <f>$G$213</f>
        <v>34</v>
      </c>
      <c r="H177" s="164">
        <f>F177*G177</f>
        <v>0</v>
      </c>
      <c r="I177" s="143" t="s">
        <v>51</v>
      </c>
      <c r="IA177" s="145"/>
      <c r="IB177" s="145"/>
      <c r="IC177" s="145"/>
      <c r="ID177" s="145"/>
      <c r="IE177" s="146"/>
    </row>
    <row r="178" spans="1:239" s="144" customFormat="1" ht="15.75" hidden="1">
      <c r="A178" s="160">
        <f>C175</f>
        <v>0</v>
      </c>
      <c r="B178" s="165" t="str">
        <f>$B$248</f>
        <v>Штукатурка силиконовая Baumit Silikon Top 2,0 мм барашек, 25кг</v>
      </c>
      <c r="C178" s="166" t="str">
        <f>$C$248</f>
        <v>кг</v>
      </c>
      <c r="D178" s="163">
        <f>$D$248</f>
        <v>1</v>
      </c>
      <c r="E178" s="163">
        <v>3.2</v>
      </c>
      <c r="F178" s="163">
        <f>A178*E178/D178</f>
        <v>0</v>
      </c>
      <c r="G178" s="164">
        <f>$G$248</f>
        <v>56</v>
      </c>
      <c r="H178" s="164">
        <f>F178*G178</f>
        <v>0</v>
      </c>
      <c r="I178" s="143" t="s">
        <v>51</v>
      </c>
      <c r="IA178" s="145"/>
      <c r="IB178" s="145"/>
      <c r="IC178" s="145"/>
      <c r="ID178" s="145"/>
      <c r="IE178" s="146"/>
    </row>
    <row r="179" spans="1:239" s="144" customFormat="1" ht="15.75" hidden="1">
      <c r="A179" s="170"/>
      <c r="B179" s="171" t="s">
        <v>241</v>
      </c>
      <c r="C179" s="170"/>
      <c r="D179" s="170"/>
      <c r="E179" s="172"/>
      <c r="F179" s="173"/>
      <c r="G179" s="173"/>
      <c r="H179" s="174">
        <f>SUM(H177:H178)</f>
        <v>0</v>
      </c>
      <c r="I179" s="143"/>
      <c r="IA179" s="145"/>
      <c r="IB179" s="145"/>
      <c r="IC179" s="145"/>
      <c r="ID179" s="145"/>
      <c r="IE179" s="146"/>
    </row>
    <row r="180" spans="1:239" s="144" customFormat="1" ht="15.75" customHeight="1" hidden="1">
      <c r="A180" s="150">
        <v>10</v>
      </c>
      <c r="B180" s="266" t="s">
        <v>327</v>
      </c>
      <c r="C180" s="266"/>
      <c r="D180" s="266"/>
      <c r="E180" s="266"/>
      <c r="F180" s="266"/>
      <c r="G180" s="266"/>
      <c r="H180" s="154"/>
      <c r="I180" s="143"/>
      <c r="IA180" s="145"/>
      <c r="IB180" s="145"/>
      <c r="IC180" s="145"/>
      <c r="ID180" s="145"/>
      <c r="IE180" s="146"/>
    </row>
    <row r="181" spans="1:239" s="144" customFormat="1" ht="15.75" hidden="1">
      <c r="A181" s="155"/>
      <c r="B181" s="156" t="s">
        <v>322</v>
      </c>
      <c r="C181" s="157">
        <f>SUMIF($B$1:$B$133,"ФБ2",$C$1:$C$133)</f>
        <v>0</v>
      </c>
      <c r="D181" s="158" t="s">
        <v>9</v>
      </c>
      <c r="E181" s="159"/>
      <c r="F181" s="159"/>
      <c r="G181" s="159"/>
      <c r="H181" s="159"/>
      <c r="I181" s="143"/>
      <c r="IA181" s="145"/>
      <c r="IB181" s="145"/>
      <c r="IC181" s="145"/>
      <c r="ID181" s="145"/>
      <c r="IE181" s="146"/>
    </row>
    <row r="182" spans="1:239" s="144" customFormat="1" ht="15.75" hidden="1">
      <c r="A182" s="147" t="s">
        <v>227</v>
      </c>
      <c r="B182" s="148" t="s">
        <v>228</v>
      </c>
      <c r="C182" s="148" t="s">
        <v>0</v>
      </c>
      <c r="D182" s="148" t="s">
        <v>239</v>
      </c>
      <c r="E182" s="149" t="s">
        <v>240</v>
      </c>
      <c r="F182" s="148" t="s">
        <v>231</v>
      </c>
      <c r="G182" s="148" t="s">
        <v>232</v>
      </c>
      <c r="H182" s="148" t="s">
        <v>233</v>
      </c>
      <c r="I182" s="143"/>
      <c r="IA182" s="145"/>
      <c r="IB182" s="145"/>
      <c r="IC182" s="145"/>
      <c r="ID182" s="145"/>
      <c r="IE182" s="146"/>
    </row>
    <row r="183" spans="1:239" s="144" customFormat="1" ht="15.75" hidden="1">
      <c r="A183" s="160">
        <f>C181</f>
        <v>0</v>
      </c>
      <c r="B183" s="165" t="str">
        <f>$B$213</f>
        <v>Грунт кварцевый на силиконовой основе - Kematerm Grund 210</v>
      </c>
      <c r="C183" s="162" t="str">
        <f>$C$213</f>
        <v>кг</v>
      </c>
      <c r="D183" s="163">
        <f>$D$213</f>
        <v>1</v>
      </c>
      <c r="E183" s="163">
        <v>0.25</v>
      </c>
      <c r="F183" s="163">
        <f>A183*E183/D183</f>
        <v>0</v>
      </c>
      <c r="G183" s="164">
        <f>$G$213</f>
        <v>34</v>
      </c>
      <c r="H183" s="164">
        <f>F183*G183</f>
        <v>0</v>
      </c>
      <c r="I183" s="143" t="s">
        <v>51</v>
      </c>
      <c r="IA183" s="145"/>
      <c r="IB183" s="145"/>
      <c r="IC183" s="145"/>
      <c r="ID183" s="145"/>
      <c r="IE183" s="146"/>
    </row>
    <row r="184" spans="1:239" s="144" customFormat="1" ht="15.75" hidden="1">
      <c r="A184" s="160">
        <f>C181</f>
        <v>0</v>
      </c>
      <c r="B184" s="165" t="str">
        <f>$B$248</f>
        <v>Штукатурка силиконовая Baumit Silikon Top 2,0 мм барашек, 25кг</v>
      </c>
      <c r="C184" s="166" t="str">
        <f>$C$248</f>
        <v>кг</v>
      </c>
      <c r="D184" s="163">
        <f>$D$248</f>
        <v>1</v>
      </c>
      <c r="E184" s="163">
        <v>3.2</v>
      </c>
      <c r="F184" s="163">
        <f>A184*E184/D184</f>
        <v>0</v>
      </c>
      <c r="G184" s="164">
        <f>$G$248</f>
        <v>56</v>
      </c>
      <c r="H184" s="164">
        <f>F184*G184</f>
        <v>0</v>
      </c>
      <c r="I184" s="143" t="s">
        <v>51</v>
      </c>
      <c r="IA184" s="145"/>
      <c r="IB184" s="145"/>
      <c r="IC184" s="145"/>
      <c r="ID184" s="145"/>
      <c r="IE184" s="146"/>
    </row>
    <row r="185" spans="1:239" s="144" customFormat="1" ht="15.75" hidden="1">
      <c r="A185" s="170"/>
      <c r="B185" s="171" t="s">
        <v>241</v>
      </c>
      <c r="C185" s="170"/>
      <c r="D185" s="170"/>
      <c r="E185" s="172"/>
      <c r="F185" s="173"/>
      <c r="G185" s="173"/>
      <c r="H185" s="174">
        <f>SUM(H183:H184)</f>
        <v>0</v>
      </c>
      <c r="I185" s="143"/>
      <c r="IA185" s="145"/>
      <c r="IB185" s="145"/>
      <c r="IC185" s="145"/>
      <c r="ID185" s="145"/>
      <c r="IE185" s="146"/>
    </row>
    <row r="186" spans="1:239" s="144" customFormat="1" ht="15.75" hidden="1">
      <c r="A186" s="170"/>
      <c r="B186" s="171" t="s">
        <v>241</v>
      </c>
      <c r="C186" s="170"/>
      <c r="D186" s="170"/>
      <c r="E186" s="172"/>
      <c r="F186" s="173"/>
      <c r="G186" s="173"/>
      <c r="H186" s="173"/>
      <c r="IA186" s="145"/>
      <c r="IB186" s="145"/>
      <c r="IC186" s="145"/>
      <c r="ID186" s="145"/>
      <c r="IE186" s="146"/>
    </row>
    <row r="187" spans="235:239" s="144" customFormat="1" ht="15.75" hidden="1">
      <c r="IA187" s="145"/>
      <c r="IB187" s="145"/>
      <c r="IC187" s="145"/>
      <c r="ID187" s="145"/>
      <c r="IE187" s="146"/>
    </row>
    <row r="188" spans="1:239" s="144" customFormat="1" ht="15.75" customHeight="1">
      <c r="A188" s="150" t="s">
        <v>290</v>
      </c>
      <c r="B188" s="266" t="s">
        <v>11</v>
      </c>
      <c r="C188" s="266"/>
      <c r="D188" s="266"/>
      <c r="E188" s="266"/>
      <c r="F188" s="266"/>
      <c r="G188" s="266"/>
      <c r="H188" s="175" t="s">
        <v>291</v>
      </c>
      <c r="I188" s="175" t="s">
        <v>233</v>
      </c>
      <c r="IA188" s="145"/>
      <c r="IB188" s="145"/>
      <c r="IC188" s="145"/>
      <c r="ID188" s="145"/>
      <c r="IE188" s="146"/>
    </row>
    <row r="189" spans="1:239" s="144" customFormat="1" ht="15.75">
      <c r="A189" s="193"/>
      <c r="B189" s="194"/>
      <c r="C189" s="195" t="s">
        <v>292</v>
      </c>
      <c r="D189" s="196" t="s">
        <v>293</v>
      </c>
      <c r="E189" s="197" t="s">
        <v>294</v>
      </c>
      <c r="F189" s="197" t="s">
        <v>295</v>
      </c>
      <c r="G189" s="197" t="s">
        <v>296</v>
      </c>
      <c r="H189" s="193"/>
      <c r="I189" s="193"/>
      <c r="IA189" s="145"/>
      <c r="IB189" s="145"/>
      <c r="IC189" s="145"/>
      <c r="ID189" s="145"/>
      <c r="IE189" s="146"/>
    </row>
    <row r="190" spans="1:239" s="144" customFormat="1" ht="27" hidden="1">
      <c r="A190" s="193"/>
      <c r="B190" s="194" t="s">
        <v>328</v>
      </c>
      <c r="C190" s="198">
        <f aca="true" t="shared" si="3" ref="C190:C207">SUM(D190:G190)</f>
        <v>51.89999999999999</v>
      </c>
      <c r="D190" s="217">
        <f>0+C18</f>
        <v>24.6</v>
      </c>
      <c r="E190" s="217">
        <f>0+C51</f>
        <v>7.8</v>
      </c>
      <c r="F190" s="217">
        <f>0+C84</f>
        <v>11.7</v>
      </c>
      <c r="G190" s="217">
        <f>0+C117</f>
        <v>7.8</v>
      </c>
      <c r="H190" s="197" t="s">
        <v>329</v>
      </c>
      <c r="I190" s="197" t="s">
        <v>329</v>
      </c>
      <c r="IA190" s="145"/>
      <c r="IB190" s="145"/>
      <c r="IC190" s="145"/>
      <c r="ID190" s="145"/>
      <c r="IE190" s="146"/>
    </row>
    <row r="191" spans="1:239" s="144" customFormat="1" ht="27" hidden="1">
      <c r="A191" s="193"/>
      <c r="B191" s="194" t="s">
        <v>330</v>
      </c>
      <c r="C191" s="199">
        <f t="shared" si="3"/>
        <v>7.784999999999999</v>
      </c>
      <c r="D191" s="200">
        <f>0+C18*0.15</f>
        <v>3.69</v>
      </c>
      <c r="E191" s="200">
        <f>0+C51*0.15</f>
        <v>1.17</v>
      </c>
      <c r="F191" s="200">
        <f>0+C84*0.15</f>
        <v>1.755</v>
      </c>
      <c r="G191" s="200">
        <f>0+C117*0.15</f>
        <v>1.17</v>
      </c>
      <c r="H191" s="197" t="s">
        <v>329</v>
      </c>
      <c r="I191" s="197" t="s">
        <v>329</v>
      </c>
      <c r="IA191" s="145"/>
      <c r="IB191" s="145"/>
      <c r="IC191" s="145"/>
      <c r="ID191" s="145"/>
      <c r="IE191" s="146"/>
    </row>
    <row r="192" spans="1:239" s="144" customFormat="1" ht="27" hidden="1">
      <c r="A192" s="193"/>
      <c r="B192" s="194" t="s">
        <v>331</v>
      </c>
      <c r="C192" s="198">
        <f t="shared" si="3"/>
        <v>46.5</v>
      </c>
      <c r="D192" s="217">
        <f>0+C18</f>
        <v>24.6</v>
      </c>
      <c r="E192" s="217">
        <f>0+C53</f>
        <v>2.4</v>
      </c>
      <c r="F192" s="217">
        <f>0+C84</f>
        <v>11.7</v>
      </c>
      <c r="G192" s="217">
        <f>0+C117</f>
        <v>7.8</v>
      </c>
      <c r="H192" s="197" t="s">
        <v>329</v>
      </c>
      <c r="I192" s="197" t="s">
        <v>329</v>
      </c>
      <c r="IA192" s="145"/>
      <c r="IB192" s="145"/>
      <c r="IC192" s="145"/>
      <c r="ID192" s="145"/>
      <c r="IE192" s="146"/>
    </row>
    <row r="193" spans="1:239" s="144" customFormat="1" ht="27" hidden="1">
      <c r="A193" s="193"/>
      <c r="B193" s="194" t="s">
        <v>332</v>
      </c>
      <c r="C193" s="199">
        <f t="shared" si="3"/>
        <v>8.265</v>
      </c>
      <c r="D193" s="200">
        <f>0+C18*0.15+C20*0.2+C14*C16</f>
        <v>4.17</v>
      </c>
      <c r="E193" s="200">
        <f>0+C51*0.15+C47*C49</f>
        <v>1.17</v>
      </c>
      <c r="F193" s="200">
        <f>0+C80*C82+C84*0.15</f>
        <v>1.755</v>
      </c>
      <c r="G193" s="200">
        <f>0+C113*C115+C117*0.15</f>
        <v>1.17</v>
      </c>
      <c r="H193" s="197" t="s">
        <v>329</v>
      </c>
      <c r="I193" s="197" t="s">
        <v>329</v>
      </c>
      <c r="IA193" s="145"/>
      <c r="IB193" s="145"/>
      <c r="IC193" s="145"/>
      <c r="ID193" s="145"/>
      <c r="IE193" s="146"/>
    </row>
    <row r="194" spans="1:239" s="144" customFormat="1" ht="27">
      <c r="A194" s="193"/>
      <c r="B194" s="194" t="s">
        <v>333</v>
      </c>
      <c r="C194" s="199">
        <f t="shared" si="3"/>
        <v>142.3</v>
      </c>
      <c r="D194" s="200">
        <f>SUBTOTAL(9,C4:C7)</f>
        <v>31.6</v>
      </c>
      <c r="E194" s="200">
        <f>SUBTOTAL(9,C37:C40)</f>
        <v>36.2</v>
      </c>
      <c r="F194" s="200">
        <f>SUBTOTAL(9,C70:C73)</f>
        <v>38.3</v>
      </c>
      <c r="G194" s="200">
        <f>SUBTOTAL(9,C103:C106)</f>
        <v>36.2</v>
      </c>
      <c r="H194" s="218">
        <v>150</v>
      </c>
      <c r="I194" s="218">
        <f>H194*C194</f>
        <v>21345</v>
      </c>
      <c r="IA194" s="145"/>
      <c r="IB194" s="145"/>
      <c r="IC194" s="145"/>
      <c r="ID194" s="145"/>
      <c r="IE194" s="146"/>
    </row>
    <row r="195" spans="1:239" s="144" customFormat="1" ht="27">
      <c r="A195" s="193"/>
      <c r="B195" s="194" t="s">
        <v>334</v>
      </c>
      <c r="C195" s="199">
        <f t="shared" si="3"/>
        <v>129.5</v>
      </c>
      <c r="D195" s="200">
        <f>SUBTOTAL(9,C32:C35)-D200*0.04-D198</f>
        <v>28.099999999999998</v>
      </c>
      <c r="E195" s="200">
        <f>SUBTOTAL(9,C65:C68)-E200*0.04-E198</f>
        <v>33.300000000000004</v>
      </c>
      <c r="F195" s="200">
        <f>SUBTOTAL(9,C98:C101)-F200*0.04-F198</f>
        <v>34.8</v>
      </c>
      <c r="G195" s="200">
        <f>SUBTOTAL(9,C131:C134)-G200*0.04-G198</f>
        <v>33.300000000000004</v>
      </c>
      <c r="H195" s="218">
        <v>80</v>
      </c>
      <c r="I195" s="218">
        <f>H195*C195</f>
        <v>10360</v>
      </c>
      <c r="IA195" s="145"/>
      <c r="IB195" s="145"/>
      <c r="IC195" s="145"/>
      <c r="ID195" s="145"/>
      <c r="IE195" s="146"/>
    </row>
    <row r="196" spans="1:239" s="144" customFormat="1" ht="27" hidden="1">
      <c r="A196" s="193"/>
      <c r="B196" s="194" t="s">
        <v>335</v>
      </c>
      <c r="C196" s="199">
        <f t="shared" si="3"/>
        <v>12.8</v>
      </c>
      <c r="D196" s="200">
        <f>C9</f>
        <v>3.5</v>
      </c>
      <c r="E196" s="200">
        <f>C42</f>
        <v>2.9</v>
      </c>
      <c r="F196" s="200">
        <f>C75</f>
        <v>3.5</v>
      </c>
      <c r="G196" s="200">
        <f>C108</f>
        <v>2.9</v>
      </c>
      <c r="H196" s="197" t="s">
        <v>329</v>
      </c>
      <c r="I196" s="197" t="s">
        <v>329</v>
      </c>
      <c r="IA196" s="145"/>
      <c r="IB196" s="145"/>
      <c r="IC196" s="145"/>
      <c r="ID196" s="145"/>
      <c r="IE196" s="146"/>
    </row>
    <row r="197" spans="1:239" s="144" customFormat="1" ht="27">
      <c r="A197" s="193"/>
      <c r="B197" s="194" t="s">
        <v>336</v>
      </c>
      <c r="C197" s="198">
        <f t="shared" si="3"/>
        <v>51.89999999999999</v>
      </c>
      <c r="D197" s="217">
        <f>C18</f>
        <v>24.6</v>
      </c>
      <c r="E197" s="217">
        <f>C51</f>
        <v>7.8</v>
      </c>
      <c r="F197" s="217">
        <f>C84</f>
        <v>11.7</v>
      </c>
      <c r="G197" s="217">
        <f>C117</f>
        <v>7.8</v>
      </c>
      <c r="H197" s="218">
        <v>150</v>
      </c>
      <c r="I197" s="218">
        <f>H197*C197</f>
        <v>7784.999999999999</v>
      </c>
      <c r="IA197" s="145"/>
      <c r="IB197" s="145"/>
      <c r="IC197" s="145"/>
      <c r="ID197" s="145"/>
      <c r="IE197" s="146"/>
    </row>
    <row r="198" spans="1:239" s="144" customFormat="1" ht="27" hidden="1">
      <c r="A198" s="193"/>
      <c r="B198" s="194" t="s">
        <v>337</v>
      </c>
      <c r="C198" s="199">
        <f t="shared" si="3"/>
        <v>7.784999999999999</v>
      </c>
      <c r="D198" s="200">
        <f>D197*0.15</f>
        <v>3.69</v>
      </c>
      <c r="E198" s="200">
        <f>E197*0.15</f>
        <v>1.17</v>
      </c>
      <c r="F198" s="200">
        <f>F197*0.15</f>
        <v>1.755</v>
      </c>
      <c r="G198" s="200">
        <f>G197*0.15</f>
        <v>1.17</v>
      </c>
      <c r="H198" s="197" t="s">
        <v>329</v>
      </c>
      <c r="I198" s="197" t="s">
        <v>329</v>
      </c>
      <c r="IA198" s="145"/>
      <c r="IB198" s="145"/>
      <c r="IC198" s="145"/>
      <c r="ID198" s="145"/>
      <c r="IE198" s="146"/>
    </row>
    <row r="199" spans="1:239" s="144" customFormat="1" ht="24" hidden="1">
      <c r="A199" s="193"/>
      <c r="B199" s="194" t="s">
        <v>338</v>
      </c>
      <c r="C199" s="198">
        <f t="shared" si="3"/>
        <v>0</v>
      </c>
      <c r="D199" s="217">
        <f>C25*4</f>
        <v>0</v>
      </c>
      <c r="E199" s="217">
        <f>C58*4</f>
        <v>0</v>
      </c>
      <c r="F199" s="217">
        <f>C91*4</f>
        <v>0</v>
      </c>
      <c r="G199" s="217">
        <f>C124*4</f>
        <v>0</v>
      </c>
      <c r="H199" s="218">
        <v>120</v>
      </c>
      <c r="I199" s="218">
        <f>H199*C199</f>
        <v>0</v>
      </c>
      <c r="IA199" s="145"/>
      <c r="IB199" s="145"/>
      <c r="IC199" s="145"/>
      <c r="ID199" s="145"/>
      <c r="IE199" s="146"/>
    </row>
    <row r="200" spans="1:239" s="144" customFormat="1" ht="24" hidden="1">
      <c r="A200" s="193"/>
      <c r="B200" s="194" t="s">
        <v>339</v>
      </c>
      <c r="C200" s="198">
        <f t="shared" si="3"/>
        <v>0</v>
      </c>
      <c r="D200" s="217">
        <f>C12+C13</f>
        <v>0</v>
      </c>
      <c r="E200" s="217">
        <f>C45+C46</f>
        <v>0</v>
      </c>
      <c r="F200" s="217">
        <f>C78+C79</f>
        <v>0</v>
      </c>
      <c r="G200" s="217">
        <f>C111+C112</f>
        <v>0</v>
      </c>
      <c r="H200" s="197" t="s">
        <v>329</v>
      </c>
      <c r="I200" s="197" t="s">
        <v>329</v>
      </c>
      <c r="IA200" s="145"/>
      <c r="IB200" s="145"/>
      <c r="IC200" s="145"/>
      <c r="ID200" s="145"/>
      <c r="IE200" s="146"/>
    </row>
    <row r="201" spans="1:239" s="144" customFormat="1" ht="24" hidden="1">
      <c r="A201" s="193"/>
      <c r="B201" s="194" t="s">
        <v>340</v>
      </c>
      <c r="C201" s="198">
        <f t="shared" si="3"/>
        <v>0</v>
      </c>
      <c r="D201" s="217">
        <f>C15+C21</f>
        <v>0</v>
      </c>
      <c r="E201" s="217">
        <f>C48+C54</f>
        <v>0</v>
      </c>
      <c r="F201" s="217">
        <f>C81+C87</f>
        <v>0</v>
      </c>
      <c r="G201" s="217">
        <f>C114+C120</f>
        <v>0</v>
      </c>
      <c r="H201" s="218">
        <v>200</v>
      </c>
      <c r="I201" s="218">
        <f>H201*C201</f>
        <v>0</v>
      </c>
      <c r="IA201" s="145"/>
      <c r="IB201" s="145"/>
      <c r="IC201" s="145"/>
      <c r="ID201" s="145"/>
      <c r="IE201" s="146"/>
    </row>
    <row r="202" spans="1:239" s="144" customFormat="1" ht="24" hidden="1">
      <c r="A202" s="193"/>
      <c r="B202" s="194" t="s">
        <v>341</v>
      </c>
      <c r="C202" s="199">
        <f t="shared" si="3"/>
        <v>0</v>
      </c>
      <c r="D202" s="200">
        <f>C10+C11+C15*C17</f>
        <v>0</v>
      </c>
      <c r="E202" s="200">
        <f>C43+C44+C48*C50</f>
        <v>0</v>
      </c>
      <c r="F202" s="200">
        <f>C76+C77+C81*C83</f>
        <v>0</v>
      </c>
      <c r="G202" s="200">
        <f>C109+C110+C114*C116</f>
        <v>0</v>
      </c>
      <c r="H202" s="218">
        <v>100</v>
      </c>
      <c r="I202" s="218">
        <f>H202*C202</f>
        <v>0</v>
      </c>
      <c r="IA202" s="145"/>
      <c r="IB202" s="145"/>
      <c r="IC202" s="145"/>
      <c r="ID202" s="145"/>
      <c r="IE202" s="146"/>
    </row>
    <row r="203" spans="1:239" s="144" customFormat="1" ht="27" hidden="1">
      <c r="A203" s="193"/>
      <c r="B203" s="194" t="s">
        <v>342</v>
      </c>
      <c r="C203" s="199">
        <f t="shared" si="3"/>
        <v>0</v>
      </c>
      <c r="D203" s="200">
        <f>C31*0.6</f>
        <v>0</v>
      </c>
      <c r="E203" s="200">
        <f>C64*0.6</f>
        <v>0</v>
      </c>
      <c r="F203" s="200">
        <f>C97*0.6</f>
        <v>0</v>
      </c>
      <c r="G203" s="200">
        <f>C130*0.6</f>
        <v>0</v>
      </c>
      <c r="H203" s="218">
        <v>150</v>
      </c>
      <c r="I203" s="218">
        <f>H203*C203</f>
        <v>0</v>
      </c>
      <c r="IA203" s="145"/>
      <c r="IB203" s="145"/>
      <c r="IC203" s="145"/>
      <c r="ID203" s="145"/>
      <c r="IE203" s="146"/>
    </row>
    <row r="204" spans="1:239" s="144" customFormat="1" ht="27" hidden="1">
      <c r="A204" s="193"/>
      <c r="B204" s="194" t="s">
        <v>343</v>
      </c>
      <c r="C204" s="199">
        <f t="shared" si="3"/>
        <v>0</v>
      </c>
      <c r="D204" s="200">
        <f>C30</f>
        <v>0</v>
      </c>
      <c r="E204" s="200">
        <f>C63</f>
        <v>0</v>
      </c>
      <c r="F204" s="200">
        <f>C96</f>
        <v>0</v>
      </c>
      <c r="G204" s="200">
        <f>C129</f>
        <v>0</v>
      </c>
      <c r="H204" s="197">
        <v>300</v>
      </c>
      <c r="I204" s="218">
        <f>H204*C204</f>
        <v>0</v>
      </c>
      <c r="IA204" s="145"/>
      <c r="IB204" s="145"/>
      <c r="IC204" s="145"/>
      <c r="ID204" s="145"/>
      <c r="IE204" s="146"/>
    </row>
    <row r="205" spans="1:239" s="144" customFormat="1" ht="27" hidden="1">
      <c r="A205" s="193"/>
      <c r="B205" s="194" t="s">
        <v>344</v>
      </c>
      <c r="C205" s="199">
        <f t="shared" si="3"/>
        <v>0</v>
      </c>
      <c r="D205" s="200">
        <f>C25</f>
        <v>0</v>
      </c>
      <c r="E205" s="200">
        <f>C58</f>
        <v>0</v>
      </c>
      <c r="F205" s="200">
        <f>C91</f>
        <v>0</v>
      </c>
      <c r="G205" s="200">
        <f>C124</f>
        <v>0</v>
      </c>
      <c r="H205" s="197" t="s">
        <v>329</v>
      </c>
      <c r="I205" s="197" t="s">
        <v>329</v>
      </c>
      <c r="IA205" s="145"/>
      <c r="IB205" s="145"/>
      <c r="IC205" s="145"/>
      <c r="ID205" s="145"/>
      <c r="IE205" s="146"/>
    </row>
    <row r="206" spans="1:239" s="144" customFormat="1" ht="27" hidden="1">
      <c r="A206" s="193"/>
      <c r="B206" s="194" t="s">
        <v>345</v>
      </c>
      <c r="C206" s="199">
        <f t="shared" si="3"/>
        <v>0</v>
      </c>
      <c r="D206" s="200">
        <f>C25</f>
        <v>0</v>
      </c>
      <c r="E206" s="200">
        <f>C58</f>
        <v>0</v>
      </c>
      <c r="F206" s="200">
        <f>C91</f>
        <v>0</v>
      </c>
      <c r="G206" s="200">
        <f>C124</f>
        <v>0</v>
      </c>
      <c r="H206" s="197" t="s">
        <v>329</v>
      </c>
      <c r="I206" s="197" t="s">
        <v>329</v>
      </c>
      <c r="IA206" s="145"/>
      <c r="IB206" s="145"/>
      <c r="IC206" s="145"/>
      <c r="ID206" s="145"/>
      <c r="IE206" s="146"/>
    </row>
    <row r="207" spans="1:239" s="144" customFormat="1" ht="27" hidden="1">
      <c r="A207" s="193"/>
      <c r="B207" s="194" t="s">
        <v>346</v>
      </c>
      <c r="C207" s="199">
        <f t="shared" si="3"/>
        <v>43.2</v>
      </c>
      <c r="D207" s="200">
        <v>33</v>
      </c>
      <c r="E207" s="200">
        <v>10.2</v>
      </c>
      <c r="F207" s="200">
        <v>0</v>
      </c>
      <c r="G207" s="200">
        <v>0</v>
      </c>
      <c r="H207" s="197" t="s">
        <v>329</v>
      </c>
      <c r="I207" s="197" t="s">
        <v>329</v>
      </c>
      <c r="IA207" s="145"/>
      <c r="IB207" s="145"/>
      <c r="IC207" s="145"/>
      <c r="ID207" s="145"/>
      <c r="IE207" s="146"/>
    </row>
    <row r="208" spans="1:239" s="144" customFormat="1" ht="15.75">
      <c r="A208" s="219"/>
      <c r="B208" s="220"/>
      <c r="C208" s="221"/>
      <c r="D208" s="222"/>
      <c r="E208" s="222"/>
      <c r="F208" s="222"/>
      <c r="G208" s="222"/>
      <c r="H208" s="223" t="s">
        <v>347</v>
      </c>
      <c r="I208" s="224">
        <f>SUM(I189:I207)</f>
        <v>39490</v>
      </c>
      <c r="IA208" s="145"/>
      <c r="IB208" s="145"/>
      <c r="IC208" s="145"/>
      <c r="ID208" s="145"/>
      <c r="IE208" s="146"/>
    </row>
    <row r="209" spans="235:239" s="144" customFormat="1" ht="15.75">
      <c r="IA209" s="145"/>
      <c r="IB209" s="145"/>
      <c r="IC209" s="145"/>
      <c r="ID209" s="145"/>
      <c r="IE209" s="146"/>
    </row>
    <row r="210" spans="1:239" s="144" customFormat="1" ht="15.75">
      <c r="A210" s="150" t="s">
        <v>245</v>
      </c>
      <c r="B210" s="151" t="s">
        <v>246</v>
      </c>
      <c r="C210" s="151" t="s">
        <v>247</v>
      </c>
      <c r="D210" s="151" t="s">
        <v>229</v>
      </c>
      <c r="E210" s="151"/>
      <c r="F210" s="151" t="s">
        <v>248</v>
      </c>
      <c r="G210" s="175" t="s">
        <v>249</v>
      </c>
      <c r="H210" s="175" t="s">
        <v>233</v>
      </c>
      <c r="I210"/>
      <c r="IA210" s="145"/>
      <c r="IB210" s="145"/>
      <c r="IC210" s="145"/>
      <c r="ID210" s="145"/>
      <c r="IE210" s="146"/>
    </row>
    <row r="211" spans="1:239" s="144" customFormat="1" ht="15.75">
      <c r="A211" s="176">
        <v>1</v>
      </c>
      <c r="B211" s="177" t="s">
        <v>250</v>
      </c>
      <c r="C211" s="178" t="s">
        <v>251</v>
      </c>
      <c r="D211" s="179">
        <v>1</v>
      </c>
      <c r="E211" s="179"/>
      <c r="F211" s="179">
        <f aca="true" t="shared" si="4" ref="F211:F250">SUMIF($B$136:$B$186,$B211,$F$136:$F$186)</f>
        <v>0</v>
      </c>
      <c r="G211" s="181">
        <v>96</v>
      </c>
      <c r="H211" s="181">
        <f aca="true" t="shared" si="5" ref="H211:H250">F211*G211</f>
        <v>0</v>
      </c>
      <c r="I211" s="146"/>
      <c r="IA211" s="145"/>
      <c r="IB211" s="145"/>
      <c r="IC211" s="145"/>
      <c r="ID211" s="145"/>
      <c r="IE211" s="146"/>
    </row>
    <row r="212" spans="1:239" s="144" customFormat="1" ht="15.75">
      <c r="A212" s="176">
        <v>2</v>
      </c>
      <c r="B212" s="177" t="s">
        <v>252</v>
      </c>
      <c r="C212" s="182" t="s">
        <v>4</v>
      </c>
      <c r="D212" s="180">
        <v>1</v>
      </c>
      <c r="E212" s="180"/>
      <c r="F212" s="180">
        <f t="shared" si="4"/>
        <v>0</v>
      </c>
      <c r="G212" s="183">
        <f>1198/28</f>
        <v>42.785714285714285</v>
      </c>
      <c r="H212" s="183">
        <f t="shared" si="5"/>
        <v>0</v>
      </c>
      <c r="I212" s="146"/>
      <c r="IA212" s="145"/>
      <c r="IB212" s="145"/>
      <c r="IC212" s="145"/>
      <c r="ID212" s="145"/>
      <c r="IE212" s="146"/>
    </row>
    <row r="213" spans="1:239" s="144" customFormat="1" ht="15.75">
      <c r="A213" s="176">
        <v>3</v>
      </c>
      <c r="B213" s="177" t="s">
        <v>253</v>
      </c>
      <c r="C213" s="178" t="s">
        <v>4</v>
      </c>
      <c r="D213" s="180">
        <v>1</v>
      </c>
      <c r="E213" s="180"/>
      <c r="F213" s="180">
        <f t="shared" si="4"/>
        <v>34.32125</v>
      </c>
      <c r="G213" s="183">
        <f>850/25</f>
        <v>34</v>
      </c>
      <c r="H213" s="183">
        <f t="shared" si="5"/>
        <v>1166.9225</v>
      </c>
      <c r="I213" s="146"/>
      <c r="IA213" s="145"/>
      <c r="IB213" s="145"/>
      <c r="IC213" s="145"/>
      <c r="ID213" s="145"/>
      <c r="IE213" s="146"/>
    </row>
    <row r="214" spans="1:239" s="144" customFormat="1" ht="15.75">
      <c r="A214" s="176">
        <v>4</v>
      </c>
      <c r="B214" s="177" t="s">
        <v>254</v>
      </c>
      <c r="C214" s="184" t="s">
        <v>12</v>
      </c>
      <c r="D214" s="179">
        <v>1</v>
      </c>
      <c r="E214" s="179"/>
      <c r="F214" s="179">
        <f t="shared" si="4"/>
        <v>30.341000000000005</v>
      </c>
      <c r="G214" s="181">
        <f>96/10</f>
        <v>9.6</v>
      </c>
      <c r="H214" s="181">
        <f t="shared" si="5"/>
        <v>291.27360000000004</v>
      </c>
      <c r="I214" s="146"/>
      <c r="IA214" s="145"/>
      <c r="IB214" s="145"/>
      <c r="IC214" s="145"/>
      <c r="ID214" s="145"/>
      <c r="IE214" s="146"/>
    </row>
    <row r="215" spans="1:239" s="144" customFormat="1" ht="15.75">
      <c r="A215" s="176">
        <v>5</v>
      </c>
      <c r="B215" s="177" t="s">
        <v>255</v>
      </c>
      <c r="C215" s="178" t="s">
        <v>10</v>
      </c>
      <c r="D215" s="180">
        <v>1</v>
      </c>
      <c r="E215" s="180"/>
      <c r="F215" s="180">
        <f t="shared" si="4"/>
        <v>0</v>
      </c>
      <c r="G215" s="183">
        <v>3.1</v>
      </c>
      <c r="H215" s="183">
        <f t="shared" si="5"/>
        <v>0</v>
      </c>
      <c r="I215" s="146"/>
      <c r="IA215" s="145"/>
      <c r="IB215" s="145"/>
      <c r="IC215" s="145"/>
      <c r="ID215" s="145"/>
      <c r="IE215" s="146"/>
    </row>
    <row r="216" spans="1:239" s="144" customFormat="1" ht="15.75">
      <c r="A216" s="176">
        <v>6</v>
      </c>
      <c r="B216" s="177" t="s">
        <v>256</v>
      </c>
      <c r="C216" s="178" t="s">
        <v>10</v>
      </c>
      <c r="D216" s="180">
        <v>1</v>
      </c>
      <c r="E216" s="180"/>
      <c r="F216" s="180">
        <f t="shared" si="4"/>
        <v>0</v>
      </c>
      <c r="G216" s="183">
        <v>0.9</v>
      </c>
      <c r="H216" s="183">
        <f t="shared" si="5"/>
        <v>0</v>
      </c>
      <c r="I216" s="146"/>
      <c r="IA216" s="145"/>
      <c r="IB216" s="145"/>
      <c r="IC216" s="145"/>
      <c r="ID216" s="145"/>
      <c r="IE216" s="146"/>
    </row>
    <row r="217" spans="1:239" s="144" customFormat="1" ht="15.75">
      <c r="A217" s="176">
        <v>7</v>
      </c>
      <c r="B217" s="177" t="s">
        <v>257</v>
      </c>
      <c r="C217" s="178" t="s">
        <v>10</v>
      </c>
      <c r="D217" s="180">
        <v>1</v>
      </c>
      <c r="E217" s="180"/>
      <c r="F217" s="180">
        <f t="shared" si="4"/>
        <v>0</v>
      </c>
      <c r="G217" s="183">
        <v>3.1</v>
      </c>
      <c r="H217" s="183">
        <f t="shared" si="5"/>
        <v>0</v>
      </c>
      <c r="I217" s="146"/>
      <c r="IA217" s="145"/>
      <c r="IB217" s="145"/>
      <c r="IC217" s="145"/>
      <c r="ID217" s="145"/>
      <c r="IE217" s="146"/>
    </row>
    <row r="218" spans="1:239" s="144" customFormat="1" ht="15.75">
      <c r="A218" s="176">
        <v>8</v>
      </c>
      <c r="B218" s="177" t="s">
        <v>258</v>
      </c>
      <c r="C218" s="178" t="s">
        <v>10</v>
      </c>
      <c r="D218" s="179">
        <v>1</v>
      </c>
      <c r="E218" s="179"/>
      <c r="F218" s="179">
        <f t="shared" si="4"/>
        <v>1138.4</v>
      </c>
      <c r="G218" s="181">
        <v>1.4</v>
      </c>
      <c r="H218" s="181">
        <f t="shared" si="5"/>
        <v>1593.76</v>
      </c>
      <c r="I218" s="146"/>
      <c r="IA218" s="145"/>
      <c r="IB218" s="145"/>
      <c r="IC218" s="145"/>
      <c r="ID218" s="145"/>
      <c r="IE218" s="146"/>
    </row>
    <row r="219" spans="1:239" s="144" customFormat="1" ht="15.75">
      <c r="A219" s="176">
        <v>9</v>
      </c>
      <c r="B219" s="177" t="s">
        <v>259</v>
      </c>
      <c r="C219" s="178" t="s">
        <v>10</v>
      </c>
      <c r="D219" s="179">
        <v>1</v>
      </c>
      <c r="E219" s="179"/>
      <c r="F219" s="179">
        <f t="shared" si="4"/>
        <v>0</v>
      </c>
      <c r="G219" s="181">
        <v>10</v>
      </c>
      <c r="H219" s="181">
        <f t="shared" si="5"/>
        <v>0</v>
      </c>
      <c r="I219" s="146"/>
      <c r="IA219" s="145"/>
      <c r="IB219" s="145"/>
      <c r="IC219" s="145"/>
      <c r="ID219" s="145"/>
      <c r="IE219" s="146"/>
    </row>
    <row r="220" spans="1:239" s="144" customFormat="1" ht="15.75">
      <c r="A220" s="176">
        <v>10</v>
      </c>
      <c r="B220" s="177" t="s">
        <v>260</v>
      </c>
      <c r="C220" s="182" t="s">
        <v>4</v>
      </c>
      <c r="D220" s="179">
        <v>1</v>
      </c>
      <c r="E220" s="179"/>
      <c r="F220" s="179">
        <f t="shared" si="4"/>
        <v>0</v>
      </c>
      <c r="G220" s="181">
        <v>25</v>
      </c>
      <c r="H220" s="181">
        <f t="shared" si="5"/>
        <v>0</v>
      </c>
      <c r="I220" s="146"/>
      <c r="IA220" s="145"/>
      <c r="IB220" s="145"/>
      <c r="IC220" s="145"/>
      <c r="ID220" s="145"/>
      <c r="IE220" s="146"/>
    </row>
    <row r="221" spans="1:239" s="144" customFormat="1" ht="15.75">
      <c r="A221" s="176">
        <v>11</v>
      </c>
      <c r="B221" s="177" t="s">
        <v>261</v>
      </c>
      <c r="C221" s="182" t="s">
        <v>19</v>
      </c>
      <c r="D221" s="179">
        <v>1</v>
      </c>
      <c r="E221" s="179"/>
      <c r="F221" s="179">
        <f t="shared" si="4"/>
        <v>0</v>
      </c>
      <c r="G221" s="181">
        <v>26.94</v>
      </c>
      <c r="H221" s="181">
        <f t="shared" si="5"/>
        <v>0</v>
      </c>
      <c r="I221" s="146"/>
      <c r="IA221" s="145"/>
      <c r="IB221" s="145"/>
      <c r="IC221" s="145"/>
      <c r="ID221" s="145"/>
      <c r="IE221" s="146"/>
    </row>
    <row r="222" spans="1:239" s="144" customFormat="1" ht="22.5" customHeight="1">
      <c r="A222" s="176">
        <v>12</v>
      </c>
      <c r="B222" s="177" t="s">
        <v>262</v>
      </c>
      <c r="C222" s="178" t="s">
        <v>4</v>
      </c>
      <c r="D222" s="179">
        <v>1</v>
      </c>
      <c r="E222" s="179"/>
      <c r="F222" s="179">
        <f t="shared" si="4"/>
        <v>810.4250000000001</v>
      </c>
      <c r="G222" s="185">
        <f>115/25</f>
        <v>4.6</v>
      </c>
      <c r="H222" s="181">
        <f t="shared" si="5"/>
        <v>3727.955</v>
      </c>
      <c r="I222" s="146"/>
      <c r="IA222" s="145"/>
      <c r="IB222" s="145"/>
      <c r="IC222" s="145"/>
      <c r="ID222" s="145"/>
      <c r="IE222" s="146"/>
    </row>
    <row r="223" spans="1:239" s="144" customFormat="1" ht="15.75">
      <c r="A223" s="176">
        <v>13</v>
      </c>
      <c r="B223" s="177" t="s">
        <v>263</v>
      </c>
      <c r="C223" s="178" t="s">
        <v>4</v>
      </c>
      <c r="D223" s="179">
        <v>1</v>
      </c>
      <c r="E223" s="179"/>
      <c r="F223" s="179">
        <f t="shared" si="4"/>
        <v>910.23</v>
      </c>
      <c r="G223" s="185">
        <f>87/25</f>
        <v>3.48</v>
      </c>
      <c r="H223" s="181">
        <f t="shared" si="5"/>
        <v>3167.6004000000003</v>
      </c>
      <c r="I223" s="146"/>
      <c r="IA223" s="145"/>
      <c r="IB223" s="145"/>
      <c r="IC223" s="145"/>
      <c r="ID223" s="145"/>
      <c r="IE223" s="146"/>
    </row>
    <row r="224" spans="1:239" s="144" customFormat="1" ht="15.75">
      <c r="A224" s="176">
        <v>14</v>
      </c>
      <c r="B224" s="177" t="s">
        <v>264</v>
      </c>
      <c r="C224" s="178" t="s">
        <v>4</v>
      </c>
      <c r="D224" s="179">
        <v>1</v>
      </c>
      <c r="E224" s="179"/>
      <c r="F224" s="179">
        <f t="shared" si="4"/>
        <v>0</v>
      </c>
      <c r="G224" s="185">
        <f>129/25</f>
        <v>5.16</v>
      </c>
      <c r="H224" s="181">
        <f t="shared" si="5"/>
        <v>0</v>
      </c>
      <c r="I224" s="146"/>
      <c r="IA224" s="145"/>
      <c r="IB224" s="145"/>
      <c r="IC224" s="145"/>
      <c r="ID224" s="145"/>
      <c r="IE224" s="146"/>
    </row>
    <row r="225" spans="1:239" s="144" customFormat="1" ht="15.75">
      <c r="A225" s="176">
        <v>15</v>
      </c>
      <c r="B225" s="177" t="s">
        <v>265</v>
      </c>
      <c r="C225" s="178" t="s">
        <v>12</v>
      </c>
      <c r="D225" s="179">
        <v>1</v>
      </c>
      <c r="E225" s="179"/>
      <c r="F225" s="179">
        <f t="shared" si="4"/>
        <v>0</v>
      </c>
      <c r="G225" s="185">
        <v>170</v>
      </c>
      <c r="H225" s="181">
        <f t="shared" si="5"/>
        <v>0</v>
      </c>
      <c r="I225" s="146"/>
      <c r="IA225" s="145"/>
      <c r="IB225" s="145"/>
      <c r="IC225" s="145"/>
      <c r="ID225" s="145"/>
      <c r="IE225" s="146"/>
    </row>
    <row r="226" spans="1:239" s="144" customFormat="1" ht="15.75">
      <c r="A226" s="176">
        <v>16</v>
      </c>
      <c r="B226" s="177" t="s">
        <v>266</v>
      </c>
      <c r="C226" s="178" t="s">
        <v>4</v>
      </c>
      <c r="D226" s="179">
        <v>1</v>
      </c>
      <c r="E226" s="179"/>
      <c r="F226" s="179">
        <f t="shared" si="4"/>
        <v>0</v>
      </c>
      <c r="G226" s="181">
        <v>48</v>
      </c>
      <c r="H226" s="181">
        <f t="shared" si="5"/>
        <v>0</v>
      </c>
      <c r="I226" s="146"/>
      <c r="IA226" s="145"/>
      <c r="IB226" s="145"/>
      <c r="IC226" s="145"/>
      <c r="ID226" s="145"/>
      <c r="IE226" s="146"/>
    </row>
    <row r="227" spans="1:239" s="144" customFormat="1" ht="15.75">
      <c r="A227" s="176">
        <v>17</v>
      </c>
      <c r="B227" s="177" t="s">
        <v>267</v>
      </c>
      <c r="C227" s="178" t="s">
        <v>9</v>
      </c>
      <c r="D227" s="180">
        <v>1</v>
      </c>
      <c r="E227" s="180"/>
      <c r="F227" s="180">
        <f t="shared" si="4"/>
        <v>0</v>
      </c>
      <c r="G227" s="183">
        <f>115.3*0.3</f>
        <v>34.589999999999996</v>
      </c>
      <c r="H227" s="183">
        <f t="shared" si="5"/>
        <v>0</v>
      </c>
      <c r="I227" s="146"/>
      <c r="IA227" s="145"/>
      <c r="IB227" s="145"/>
      <c r="IC227" s="145"/>
      <c r="ID227" s="145"/>
      <c r="IE227" s="146"/>
    </row>
    <row r="228" spans="1:239" s="144" customFormat="1" ht="15.75">
      <c r="A228" s="176">
        <v>18</v>
      </c>
      <c r="B228" s="177" t="s">
        <v>268</v>
      </c>
      <c r="C228" s="178" t="s">
        <v>9</v>
      </c>
      <c r="D228" s="180">
        <v>1</v>
      </c>
      <c r="E228" s="180"/>
      <c r="F228" s="180">
        <f t="shared" si="4"/>
        <v>0</v>
      </c>
      <c r="G228" s="183">
        <f>115.3*0.4</f>
        <v>46.120000000000005</v>
      </c>
      <c r="H228" s="183">
        <f t="shared" si="5"/>
        <v>0</v>
      </c>
      <c r="I228" s="146"/>
      <c r="IA228" s="145"/>
      <c r="IB228" s="145"/>
      <c r="IC228" s="145"/>
      <c r="ID228" s="145"/>
      <c r="IE228" s="146"/>
    </row>
    <row r="229" spans="1:239" s="144" customFormat="1" ht="15.75">
      <c r="A229" s="176">
        <v>19</v>
      </c>
      <c r="B229" s="177" t="s">
        <v>269</v>
      </c>
      <c r="C229" s="178" t="s">
        <v>9</v>
      </c>
      <c r="D229" s="179">
        <v>1</v>
      </c>
      <c r="E229" s="179"/>
      <c r="F229" s="179">
        <f t="shared" si="4"/>
        <v>9.875249999999998</v>
      </c>
      <c r="G229" s="181">
        <f>115.3*0.5</f>
        <v>57.65</v>
      </c>
      <c r="H229" s="181">
        <f t="shared" si="5"/>
        <v>569.3081624999999</v>
      </c>
      <c r="I229" s="146"/>
      <c r="IA229" s="145"/>
      <c r="IB229" s="145"/>
      <c r="IC229" s="145"/>
      <c r="ID229" s="145"/>
      <c r="IE229" s="146"/>
    </row>
    <row r="230" spans="1:239" s="144" customFormat="1" ht="15.75">
      <c r="A230" s="176">
        <v>20</v>
      </c>
      <c r="B230" s="177" t="s">
        <v>270</v>
      </c>
      <c r="C230" s="182" t="s">
        <v>9</v>
      </c>
      <c r="D230" s="179">
        <v>1</v>
      </c>
      <c r="E230" s="179"/>
      <c r="F230" s="179">
        <f t="shared" si="4"/>
        <v>0</v>
      </c>
      <c r="G230" s="181">
        <f>115.3*0.6</f>
        <v>69.17999999999999</v>
      </c>
      <c r="H230" s="181">
        <f t="shared" si="5"/>
        <v>0</v>
      </c>
      <c r="I230" s="146"/>
      <c r="IA230" s="145"/>
      <c r="IB230" s="145"/>
      <c r="IC230" s="145"/>
      <c r="ID230" s="145"/>
      <c r="IE230" s="146"/>
    </row>
    <row r="231" spans="1:239" s="144" customFormat="1" ht="15.75">
      <c r="A231" s="176">
        <v>21</v>
      </c>
      <c r="B231" s="177" t="s">
        <v>348</v>
      </c>
      <c r="C231" s="182" t="s">
        <v>9</v>
      </c>
      <c r="D231" s="179">
        <v>1</v>
      </c>
      <c r="E231" s="179"/>
      <c r="F231" s="179">
        <f t="shared" si="4"/>
        <v>0</v>
      </c>
      <c r="G231" s="181">
        <f>115.3*0.8</f>
        <v>92.24000000000001</v>
      </c>
      <c r="H231" s="181">
        <f t="shared" si="5"/>
        <v>0</v>
      </c>
      <c r="I231" s="146"/>
      <c r="IA231" s="145"/>
      <c r="IB231" s="145"/>
      <c r="IC231" s="145"/>
      <c r="ID231" s="145"/>
      <c r="IE231" s="146"/>
    </row>
    <row r="232" spans="1:239" s="144" customFormat="1" ht="15.75">
      <c r="A232" s="176">
        <v>22</v>
      </c>
      <c r="B232" s="177" t="s">
        <v>271</v>
      </c>
      <c r="C232" s="178" t="s">
        <v>9</v>
      </c>
      <c r="D232" s="179">
        <v>1</v>
      </c>
      <c r="E232" s="179"/>
      <c r="F232" s="179">
        <f t="shared" si="4"/>
        <v>149.41500000000002</v>
      </c>
      <c r="G232" s="181">
        <v>115.3</v>
      </c>
      <c r="H232" s="181">
        <f t="shared" si="5"/>
        <v>17227.5495</v>
      </c>
      <c r="I232" s="146"/>
      <c r="IA232" s="145"/>
      <c r="IB232" s="145"/>
      <c r="IC232" s="145"/>
      <c r="ID232" s="145"/>
      <c r="IE232" s="146"/>
    </row>
    <row r="233" spans="1:239" s="144" customFormat="1" ht="15.75">
      <c r="A233" s="176">
        <v>23</v>
      </c>
      <c r="B233" s="177" t="s">
        <v>349</v>
      </c>
      <c r="C233" s="178" t="s">
        <v>9</v>
      </c>
      <c r="D233" s="179">
        <v>1</v>
      </c>
      <c r="E233" s="179"/>
      <c r="F233" s="179">
        <f t="shared" si="4"/>
        <v>0</v>
      </c>
      <c r="G233" s="181">
        <f>115.3*1.2</f>
        <v>138.35999999999999</v>
      </c>
      <c r="H233" s="181">
        <f t="shared" si="5"/>
        <v>0</v>
      </c>
      <c r="I233" s="146"/>
      <c r="IA233" s="145"/>
      <c r="IB233" s="145"/>
      <c r="IC233" s="145"/>
      <c r="ID233" s="145"/>
      <c r="IE233" s="146"/>
    </row>
    <row r="234" spans="1:239" s="144" customFormat="1" ht="15.75">
      <c r="A234" s="176">
        <v>24</v>
      </c>
      <c r="B234" s="177" t="s">
        <v>350</v>
      </c>
      <c r="C234" s="178" t="s">
        <v>9</v>
      </c>
      <c r="D234" s="179">
        <v>1</v>
      </c>
      <c r="E234" s="179"/>
      <c r="F234" s="179">
        <f t="shared" si="4"/>
        <v>0</v>
      </c>
      <c r="G234" s="181">
        <f>115.3*1.4</f>
        <v>161.42</v>
      </c>
      <c r="H234" s="181">
        <f t="shared" si="5"/>
        <v>0</v>
      </c>
      <c r="I234" s="146"/>
      <c r="IA234" s="145"/>
      <c r="IB234" s="145"/>
      <c r="IC234" s="145"/>
      <c r="ID234" s="145"/>
      <c r="IE234" s="146"/>
    </row>
    <row r="235" spans="1:239" s="144" customFormat="1" ht="15.75">
      <c r="A235" s="176">
        <v>25</v>
      </c>
      <c r="B235" s="177" t="s">
        <v>272</v>
      </c>
      <c r="C235" s="178" t="s">
        <v>1</v>
      </c>
      <c r="D235" s="179">
        <v>1</v>
      </c>
      <c r="E235" s="179"/>
      <c r="F235" s="179">
        <f t="shared" si="4"/>
        <v>0</v>
      </c>
      <c r="G235" s="181">
        <v>1153</v>
      </c>
      <c r="H235" s="181">
        <f t="shared" si="5"/>
        <v>0</v>
      </c>
      <c r="I235" s="146"/>
      <c r="IA235" s="145"/>
      <c r="IB235" s="145"/>
      <c r="IC235" s="145"/>
      <c r="ID235" s="145"/>
      <c r="IE235" s="146"/>
    </row>
    <row r="236" spans="1:239" s="144" customFormat="1" ht="15.75">
      <c r="A236" s="176">
        <v>26</v>
      </c>
      <c r="B236" s="177" t="s">
        <v>273</v>
      </c>
      <c r="C236" s="178" t="s">
        <v>9</v>
      </c>
      <c r="D236" s="179">
        <v>1</v>
      </c>
      <c r="E236" s="179"/>
      <c r="F236" s="179">
        <f t="shared" si="4"/>
        <v>0</v>
      </c>
      <c r="G236" s="181">
        <v>118</v>
      </c>
      <c r="H236" s="181">
        <f t="shared" si="5"/>
        <v>0</v>
      </c>
      <c r="I236" s="146"/>
      <c r="IA236" s="145"/>
      <c r="IB236" s="145"/>
      <c r="IC236" s="145"/>
      <c r="ID236" s="145"/>
      <c r="IE236" s="146"/>
    </row>
    <row r="237" spans="1:239" s="144" customFormat="1" ht="15.75">
      <c r="A237" s="176">
        <v>27</v>
      </c>
      <c r="B237" s="177" t="s">
        <v>274</v>
      </c>
      <c r="C237" s="182" t="s">
        <v>169</v>
      </c>
      <c r="D237" s="179">
        <v>1</v>
      </c>
      <c r="E237" s="179"/>
      <c r="F237" s="179">
        <f t="shared" si="4"/>
        <v>0</v>
      </c>
      <c r="G237" s="181">
        <v>110</v>
      </c>
      <c r="H237" s="181">
        <f t="shared" si="5"/>
        <v>0</v>
      </c>
      <c r="I237" s="146"/>
      <c r="IA237" s="145"/>
      <c r="IB237" s="145"/>
      <c r="IC237" s="145"/>
      <c r="ID237" s="145"/>
      <c r="IE237" s="146"/>
    </row>
    <row r="238" spans="1:239" s="144" customFormat="1" ht="15.75">
      <c r="A238" s="176">
        <v>28</v>
      </c>
      <c r="B238" s="177" t="s">
        <v>275</v>
      </c>
      <c r="C238" s="182" t="s">
        <v>9</v>
      </c>
      <c r="D238" s="180">
        <v>1</v>
      </c>
      <c r="E238" s="180"/>
      <c r="F238" s="180">
        <f t="shared" si="4"/>
        <v>0</v>
      </c>
      <c r="G238" s="183">
        <v>600</v>
      </c>
      <c r="H238" s="183">
        <f t="shared" si="5"/>
        <v>0</v>
      </c>
      <c r="I238" s="146"/>
      <c r="IA238" s="145"/>
      <c r="IB238" s="145"/>
      <c r="IC238" s="145"/>
      <c r="ID238" s="145"/>
      <c r="IE238" s="146"/>
    </row>
    <row r="239" spans="1:239" s="144" customFormat="1" ht="15.75">
      <c r="A239" s="176">
        <v>29</v>
      </c>
      <c r="B239" s="177" t="s">
        <v>276</v>
      </c>
      <c r="C239" s="182" t="s">
        <v>12</v>
      </c>
      <c r="D239" s="179">
        <v>1</v>
      </c>
      <c r="E239" s="179"/>
      <c r="F239" s="179">
        <f t="shared" si="4"/>
        <v>0</v>
      </c>
      <c r="G239" s="181">
        <v>27.17</v>
      </c>
      <c r="H239" s="181">
        <f t="shared" si="5"/>
        <v>0</v>
      </c>
      <c r="I239" s="146"/>
      <c r="IA239" s="145"/>
      <c r="IB239" s="145"/>
      <c r="IC239" s="145"/>
      <c r="ID239" s="145"/>
      <c r="IE239" s="146"/>
    </row>
    <row r="240" spans="1:239" s="144" customFormat="1" ht="15.75">
      <c r="A240" s="176">
        <v>30</v>
      </c>
      <c r="B240" s="177" t="s">
        <v>277</v>
      </c>
      <c r="C240" s="182" t="s">
        <v>9</v>
      </c>
      <c r="D240" s="179">
        <v>1</v>
      </c>
      <c r="E240" s="179"/>
      <c r="F240" s="179">
        <f t="shared" si="4"/>
        <v>0</v>
      </c>
      <c r="G240" s="181">
        <v>150</v>
      </c>
      <c r="H240" s="181">
        <f t="shared" si="5"/>
        <v>0</v>
      </c>
      <c r="I240" s="146"/>
      <c r="IA240" s="145"/>
      <c r="IB240" s="145"/>
      <c r="IC240" s="145"/>
      <c r="ID240" s="145"/>
      <c r="IE240" s="146"/>
    </row>
    <row r="241" spans="1:239" s="144" customFormat="1" ht="15.75">
      <c r="A241" s="176">
        <v>31</v>
      </c>
      <c r="B241" s="177" t="s">
        <v>278</v>
      </c>
      <c r="C241" s="178" t="s">
        <v>2</v>
      </c>
      <c r="D241" s="180">
        <v>1</v>
      </c>
      <c r="E241" s="180"/>
      <c r="F241" s="180">
        <f t="shared" si="4"/>
        <v>54.49499999999999</v>
      </c>
      <c r="G241" s="186">
        <v>34.17</v>
      </c>
      <c r="H241" s="183">
        <f t="shared" si="5"/>
        <v>1862.0941499999997</v>
      </c>
      <c r="I241" s="146"/>
      <c r="IA241" s="145"/>
      <c r="IB241" s="145"/>
      <c r="IC241" s="145"/>
      <c r="ID241" s="145"/>
      <c r="IE241" s="146"/>
    </row>
    <row r="242" spans="1:239" s="144" customFormat="1" ht="31.5">
      <c r="A242" s="176">
        <v>32</v>
      </c>
      <c r="B242" s="177" t="s">
        <v>279</v>
      </c>
      <c r="C242" s="178" t="s">
        <v>9</v>
      </c>
      <c r="D242" s="179">
        <v>1</v>
      </c>
      <c r="E242" s="179"/>
      <c r="F242" s="179">
        <f t="shared" si="4"/>
        <v>0</v>
      </c>
      <c r="G242" s="185">
        <v>27</v>
      </c>
      <c r="H242" s="181">
        <f t="shared" si="5"/>
        <v>0</v>
      </c>
      <c r="I242" s="146"/>
      <c r="IA242" s="145"/>
      <c r="IB242" s="145"/>
      <c r="IC242" s="145"/>
      <c r="ID242" s="145"/>
      <c r="IE242" s="146"/>
    </row>
    <row r="243" spans="1:239" s="144" customFormat="1" ht="15.75">
      <c r="A243" s="176">
        <v>33</v>
      </c>
      <c r="B243" s="177" t="s">
        <v>280</v>
      </c>
      <c r="C243" s="178" t="s">
        <v>9</v>
      </c>
      <c r="D243" s="179">
        <v>1</v>
      </c>
      <c r="E243" s="179"/>
      <c r="F243" s="179">
        <f t="shared" si="4"/>
        <v>170.76000000000002</v>
      </c>
      <c r="G243" s="185">
        <f>680/50</f>
        <v>13.6</v>
      </c>
      <c r="H243" s="181">
        <f t="shared" si="5"/>
        <v>2322.3360000000002</v>
      </c>
      <c r="I243" s="146"/>
      <c r="IA243" s="145"/>
      <c r="IB243" s="145"/>
      <c r="IC243" s="145"/>
      <c r="ID243" s="145"/>
      <c r="IE243" s="146"/>
    </row>
    <row r="244" spans="1:239" s="144" customFormat="1" ht="15.75">
      <c r="A244" s="176">
        <v>34</v>
      </c>
      <c r="B244" s="177" t="s">
        <v>281</v>
      </c>
      <c r="C244" s="182" t="s">
        <v>9</v>
      </c>
      <c r="D244" s="179">
        <v>1</v>
      </c>
      <c r="E244" s="179"/>
      <c r="F244" s="179">
        <f t="shared" si="4"/>
        <v>0</v>
      </c>
      <c r="G244" s="181">
        <f>460/50</f>
        <v>9.2</v>
      </c>
      <c r="H244" s="181">
        <f t="shared" si="5"/>
        <v>0</v>
      </c>
      <c r="I244" s="146"/>
      <c r="IA244" s="145"/>
      <c r="IB244" s="145"/>
      <c r="IC244" s="145"/>
      <c r="ID244" s="145"/>
      <c r="IE244" s="146"/>
    </row>
    <row r="245" spans="1:239" s="144" customFormat="1" ht="15.75">
      <c r="A245" s="176">
        <v>35</v>
      </c>
      <c r="B245" s="177" t="s">
        <v>282</v>
      </c>
      <c r="C245" s="178" t="s">
        <v>2</v>
      </c>
      <c r="D245" s="179">
        <v>1</v>
      </c>
      <c r="E245" s="179"/>
      <c r="F245" s="179">
        <f t="shared" si="4"/>
        <v>0</v>
      </c>
      <c r="G245" s="181">
        <f>6.8/3</f>
        <v>2.2666666666666666</v>
      </c>
      <c r="H245" s="181">
        <f t="shared" si="5"/>
        <v>0</v>
      </c>
      <c r="I245" s="146"/>
      <c r="IA245" s="145"/>
      <c r="IB245" s="145"/>
      <c r="IC245" s="145"/>
      <c r="ID245" s="145"/>
      <c r="IE245" s="146"/>
    </row>
    <row r="246" spans="1:239" s="144" customFormat="1" ht="15.75">
      <c r="A246" s="176">
        <v>36</v>
      </c>
      <c r="B246" s="177" t="s">
        <v>283</v>
      </c>
      <c r="C246" s="178" t="s">
        <v>2</v>
      </c>
      <c r="D246" s="180">
        <v>1</v>
      </c>
      <c r="E246" s="180"/>
      <c r="F246" s="180">
        <f t="shared" si="4"/>
        <v>54.49499999999999</v>
      </c>
      <c r="G246" s="186">
        <f>25/2.6</f>
        <v>9.615384615384615</v>
      </c>
      <c r="H246" s="183">
        <f t="shared" si="5"/>
        <v>523.9903846153845</v>
      </c>
      <c r="I246" s="146"/>
      <c r="IA246" s="145"/>
      <c r="IB246" s="145"/>
      <c r="IC246" s="145"/>
      <c r="ID246" s="145"/>
      <c r="IE246" s="146"/>
    </row>
    <row r="247" spans="1:239" s="144" customFormat="1" ht="15.75">
      <c r="A247" s="176">
        <v>37</v>
      </c>
      <c r="B247" s="177" t="s">
        <v>208</v>
      </c>
      <c r="C247" s="184" t="s">
        <v>169</v>
      </c>
      <c r="D247" s="179">
        <v>1</v>
      </c>
      <c r="E247" s="179"/>
      <c r="F247" s="179">
        <f t="shared" si="4"/>
        <v>0</v>
      </c>
      <c r="G247" s="181">
        <v>2200</v>
      </c>
      <c r="H247" s="181">
        <f t="shared" si="5"/>
        <v>0</v>
      </c>
      <c r="I247" s="146"/>
      <c r="IA247" s="145"/>
      <c r="IB247" s="145"/>
      <c r="IC247" s="145"/>
      <c r="ID247" s="145"/>
      <c r="IE247" s="146"/>
    </row>
    <row r="248" spans="1:239" s="144" customFormat="1" ht="15.75">
      <c r="A248" s="176">
        <v>38</v>
      </c>
      <c r="B248" s="177" t="s">
        <v>284</v>
      </c>
      <c r="C248" s="178" t="s">
        <v>4</v>
      </c>
      <c r="D248" s="179">
        <v>1</v>
      </c>
      <c r="E248" s="179"/>
      <c r="F248" s="179">
        <f t="shared" si="4"/>
        <v>0</v>
      </c>
      <c r="G248" s="185">
        <f>1400/25</f>
        <v>56</v>
      </c>
      <c r="H248" s="181">
        <f t="shared" si="5"/>
        <v>0</v>
      </c>
      <c r="I248" s="146"/>
      <c r="IA248" s="145"/>
      <c r="IB248" s="145"/>
      <c r="IC248" s="145"/>
      <c r="ID248" s="145"/>
      <c r="IE248" s="146"/>
    </row>
    <row r="249" spans="1:239" s="144" customFormat="1" ht="15.75">
      <c r="A249" s="176">
        <v>39</v>
      </c>
      <c r="B249" s="177" t="s">
        <v>285</v>
      </c>
      <c r="C249" s="178" t="s">
        <v>4</v>
      </c>
      <c r="D249" s="179">
        <v>1</v>
      </c>
      <c r="E249" s="179"/>
      <c r="F249" s="179">
        <f t="shared" si="4"/>
        <v>542.27575</v>
      </c>
      <c r="G249" s="185">
        <f>1400/25</f>
        <v>56</v>
      </c>
      <c r="H249" s="181">
        <f t="shared" si="5"/>
        <v>30367.442000000003</v>
      </c>
      <c r="I249" s="146"/>
      <c r="IA249" s="145"/>
      <c r="IB249" s="145"/>
      <c r="IC249" s="145"/>
      <c r="ID249" s="145"/>
      <c r="IE249" s="146"/>
    </row>
    <row r="250" spans="1:239" s="144" customFormat="1" ht="15.75">
      <c r="A250" s="176">
        <v>40</v>
      </c>
      <c r="B250" s="177" t="s">
        <v>286</v>
      </c>
      <c r="C250" s="182" t="s">
        <v>169</v>
      </c>
      <c r="D250" s="180">
        <v>1</v>
      </c>
      <c r="E250" s="180"/>
      <c r="F250" s="180">
        <f t="shared" si="4"/>
        <v>0</v>
      </c>
      <c r="G250" s="183">
        <v>450</v>
      </c>
      <c r="H250" s="183">
        <f t="shared" si="5"/>
        <v>0</v>
      </c>
      <c r="I250" s="146"/>
      <c r="IA250" s="145"/>
      <c r="IB250" s="145"/>
      <c r="IC250" s="145"/>
      <c r="ID250" s="145"/>
      <c r="IE250" s="146"/>
    </row>
    <row r="251" spans="7:9" ht="15.75">
      <c r="G251" s="187" t="s">
        <v>287</v>
      </c>
      <c r="H251" s="188">
        <f>SUM(H211:H250)</f>
        <v>62820.231697115385</v>
      </c>
      <c r="I251" s="146"/>
    </row>
    <row r="254" spans="6:8" ht="15.75">
      <c r="F254" s="189"/>
      <c r="G254" s="190" t="s">
        <v>288</v>
      </c>
      <c r="H254" s="191">
        <f>SUMIF($I$136:$I$186,"м",$H$136:$H$186)</f>
        <v>62820.23169711539</v>
      </c>
    </row>
    <row r="256" spans="3:8" ht="15.75">
      <c r="C256"/>
      <c r="D256"/>
      <c r="E256"/>
      <c r="F256"/>
      <c r="G256"/>
      <c r="H256"/>
    </row>
    <row r="258" spans="7:8" ht="15.75">
      <c r="G258" s="190" t="s">
        <v>289</v>
      </c>
      <c r="H258" s="192">
        <f>H251-H254</f>
        <v>0</v>
      </c>
    </row>
    <row r="263" ht="15.75">
      <c r="C263" s="146"/>
    </row>
    <row r="264" ht="15.75">
      <c r="C264" s="146"/>
    </row>
    <row r="265" ht="15.75">
      <c r="C265" s="146"/>
    </row>
    <row r="266" ht="15.75">
      <c r="C266" s="146"/>
    </row>
    <row r="267" ht="15.75">
      <c r="C267" s="146"/>
    </row>
    <row r="268" ht="15.75">
      <c r="C268" s="146"/>
    </row>
    <row r="269" ht="15.75">
      <c r="C269" s="146"/>
    </row>
    <row r="270" ht="15.75">
      <c r="C270" s="146"/>
    </row>
    <row r="271" ht="15.75">
      <c r="C271" s="146"/>
    </row>
    <row r="272" ht="15.75">
      <c r="C272" s="146"/>
    </row>
    <row r="273" ht="15.75">
      <c r="C273" s="146"/>
    </row>
    <row r="274" ht="15.75">
      <c r="C274" s="146"/>
    </row>
    <row r="275" ht="15.75">
      <c r="C275" s="146"/>
    </row>
    <row r="276" ht="15.75">
      <c r="C276" s="146"/>
    </row>
    <row r="277" ht="15.75">
      <c r="C277" s="146"/>
    </row>
    <row r="278" ht="15.75">
      <c r="C278" s="146"/>
    </row>
    <row r="279" ht="15.75">
      <c r="C279" s="146"/>
    </row>
    <row r="280" ht="15.75">
      <c r="C280" s="146"/>
    </row>
    <row r="281" ht="15.75">
      <c r="C281" s="146"/>
    </row>
    <row r="282" ht="15.75">
      <c r="C282" s="146"/>
    </row>
    <row r="283" ht="15.75">
      <c r="C283" s="146"/>
    </row>
    <row r="284" ht="15.75">
      <c r="C284" s="146"/>
    </row>
  </sheetData>
  <sheetProtection selectLockedCells="1" selectUnlockedCells="1"/>
  <autoFilter ref="A2:I251"/>
  <mergeCells count="6">
    <mergeCell ref="B188:G188"/>
    <mergeCell ref="B1:E1"/>
    <mergeCell ref="B162:G162"/>
    <mergeCell ref="B168:G168"/>
    <mergeCell ref="B174:G174"/>
    <mergeCell ref="B180:G180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2:E35"/>
  <sheetViews>
    <sheetView tabSelected="1" zoomScale="159" zoomScaleNormal="159" zoomScalePageLayoutView="0" workbookViewId="0" topLeftCell="A25">
      <selection activeCell="A29" sqref="A29"/>
    </sheetView>
  </sheetViews>
  <sheetFormatPr defaultColWidth="8.875" defaultRowHeight="12.75"/>
  <cols>
    <col min="1" max="2" width="8.875" style="0" customWidth="1"/>
    <col min="3" max="3" width="20.625" style="0" customWidth="1"/>
    <col min="4" max="4" width="16.625" style="0" customWidth="1"/>
    <col min="5" max="5" width="20.625" style="0" customWidth="1"/>
  </cols>
  <sheetData>
    <row r="2" ht="15.75">
      <c r="D2" s="229" t="s">
        <v>363</v>
      </c>
    </row>
    <row r="3" spans="3:5" ht="20.25" customHeight="1">
      <c r="C3" s="236" t="s">
        <v>14</v>
      </c>
      <c r="D3" s="230"/>
      <c r="E3" s="230" t="s">
        <v>362</v>
      </c>
    </row>
    <row r="4" spans="3:5" ht="20.25" customHeight="1">
      <c r="C4" s="276"/>
      <c r="D4" s="230" t="s">
        <v>360</v>
      </c>
      <c r="E4" s="248">
        <f>Кровля!G55</f>
        <v>170394.05671782413</v>
      </c>
    </row>
    <row r="5" spans="3:5" ht="20.25" customHeight="1">
      <c r="C5" s="277"/>
      <c r="D5" s="230" t="s">
        <v>7</v>
      </c>
      <c r="E5" s="248">
        <f>Кровля!G59</f>
        <v>43565</v>
      </c>
    </row>
    <row r="6" spans="3:5" ht="20.25" customHeight="1">
      <c r="C6" s="278"/>
      <c r="D6" s="231" t="s">
        <v>359</v>
      </c>
      <c r="E6" s="249">
        <f>SUM(E4:E5)</f>
        <v>213959.05671782413</v>
      </c>
    </row>
    <row r="7" spans="3:5" ht="20.25" customHeight="1">
      <c r="C7" s="237" t="s">
        <v>357</v>
      </c>
      <c r="D7" s="234"/>
      <c r="E7" s="250"/>
    </row>
    <row r="8" spans="3:5" ht="20.25" customHeight="1">
      <c r="C8" s="279"/>
      <c r="D8" s="234" t="s">
        <v>360</v>
      </c>
      <c r="E8" s="250">
        <f>'Утепление кровли'!H10</f>
        <v>19591.5265</v>
      </c>
    </row>
    <row r="9" spans="3:5" ht="20.25" customHeight="1">
      <c r="C9" s="280"/>
      <c r="D9" s="234" t="s">
        <v>7</v>
      </c>
      <c r="E9" s="250">
        <f>'Утепление кровли'!H12</f>
        <v>10088</v>
      </c>
    </row>
    <row r="10" spans="3:5" ht="20.25" customHeight="1">
      <c r="C10" s="281"/>
      <c r="D10" s="235" t="s">
        <v>359</v>
      </c>
      <c r="E10" s="251">
        <f>SUM(E8:E9)</f>
        <v>29679.5265</v>
      </c>
    </row>
    <row r="11" spans="3:5" ht="20.25" customHeight="1">
      <c r="C11" s="238" t="s">
        <v>358</v>
      </c>
      <c r="D11" s="232"/>
      <c r="E11" s="252"/>
    </row>
    <row r="12" spans="3:5" ht="20.25" customHeight="1">
      <c r="C12" s="282"/>
      <c r="D12" s="232" t="s">
        <v>360</v>
      </c>
      <c r="E12" s="252">
        <f>'Утепление фасада'!H161+'Утепление фасада'!H167</f>
        <v>62820.23169711539</v>
      </c>
    </row>
    <row r="13" spans="3:5" ht="20.25" customHeight="1">
      <c r="C13" s="283"/>
      <c r="D13" s="232" t="s">
        <v>7</v>
      </c>
      <c r="E13" s="252">
        <f>'Утепление фасада'!I208</f>
        <v>39490</v>
      </c>
    </row>
    <row r="14" spans="3:5" ht="20.25" customHeight="1">
      <c r="C14" s="284"/>
      <c r="D14" s="233" t="s">
        <v>359</v>
      </c>
      <c r="E14" s="253">
        <f>SUM(E12:E13)</f>
        <v>102310.23169711539</v>
      </c>
    </row>
    <row r="15" spans="3:5" ht="20.25" customHeight="1">
      <c r="C15" s="242" t="s">
        <v>364</v>
      </c>
      <c r="D15" s="243"/>
      <c r="E15" s="254"/>
    </row>
    <row r="16" spans="3:5" ht="20.25" customHeight="1">
      <c r="C16" s="270" t="s">
        <v>365</v>
      </c>
      <c r="D16" s="243" t="s">
        <v>360</v>
      </c>
      <c r="E16" s="254">
        <v>0</v>
      </c>
    </row>
    <row r="17" spans="3:5" ht="20.25" customHeight="1">
      <c r="C17" s="271"/>
      <c r="D17" s="243" t="s">
        <v>7</v>
      </c>
      <c r="E17" s="254">
        <f>'Утепление фасада'!I212</f>
        <v>0</v>
      </c>
    </row>
    <row r="18" spans="3:5" ht="22.5" customHeight="1">
      <c r="C18" s="272"/>
      <c r="D18" s="244" t="s">
        <v>359</v>
      </c>
      <c r="E18" s="255">
        <f>SUM(E16:E17)</f>
        <v>0</v>
      </c>
    </row>
    <row r="19" spans="3:5" ht="20.25" customHeight="1">
      <c r="C19" s="239" t="s">
        <v>366</v>
      </c>
      <c r="D19" s="240"/>
      <c r="E19" s="256"/>
    </row>
    <row r="20" spans="3:5" ht="20.25" customHeight="1">
      <c r="C20" s="273" t="s">
        <v>375</v>
      </c>
      <c r="D20" s="240" t="s">
        <v>360</v>
      </c>
      <c r="E20" s="256">
        <v>0</v>
      </c>
    </row>
    <row r="21" spans="3:5" ht="20.25" customHeight="1">
      <c r="C21" s="274"/>
      <c r="D21" s="240" t="s">
        <v>7</v>
      </c>
      <c r="E21" s="256">
        <f>'Утепление фасада'!I216</f>
        <v>0</v>
      </c>
    </row>
    <row r="22" spans="3:5" ht="20.25" customHeight="1">
      <c r="C22" s="275"/>
      <c r="D22" s="241" t="s">
        <v>359</v>
      </c>
      <c r="E22" s="257">
        <f>SUM(E20:E21)</f>
        <v>0</v>
      </c>
    </row>
    <row r="23" spans="3:5" ht="20.25" customHeight="1">
      <c r="C23" s="242" t="s">
        <v>367</v>
      </c>
      <c r="D23" s="243"/>
      <c r="E23" s="254"/>
    </row>
    <row r="24" spans="3:5" ht="20.25" customHeight="1">
      <c r="C24" s="270" t="s">
        <v>368</v>
      </c>
      <c r="D24" s="243" t="s">
        <v>360</v>
      </c>
      <c r="E24" s="254">
        <v>83681</v>
      </c>
    </row>
    <row r="25" spans="3:5" ht="20.25" customHeight="1">
      <c r="C25" s="271"/>
      <c r="D25" s="243" t="s">
        <v>7</v>
      </c>
      <c r="E25" s="254">
        <v>10500</v>
      </c>
    </row>
    <row r="26" spans="3:5" ht="20.25" customHeight="1">
      <c r="C26" s="272"/>
      <c r="D26" s="244" t="s">
        <v>359</v>
      </c>
      <c r="E26" s="255">
        <f>SUM(E24:E25)</f>
        <v>94181</v>
      </c>
    </row>
    <row r="27" spans="3:5" ht="20.25" customHeight="1">
      <c r="C27" s="245" t="s">
        <v>369</v>
      </c>
      <c r="D27" s="246"/>
      <c r="E27" s="258"/>
    </row>
    <row r="28" spans="3:5" ht="20.25" customHeight="1">
      <c r="C28" s="267" t="s">
        <v>370</v>
      </c>
      <c r="D28" s="246" t="s">
        <v>360</v>
      </c>
      <c r="E28" s="258">
        <v>0</v>
      </c>
    </row>
    <row r="29" spans="3:5" ht="20.25" customHeight="1">
      <c r="C29" s="268"/>
      <c r="D29" s="246" t="s">
        <v>7</v>
      </c>
      <c r="E29" s="258">
        <f>'Утепление фасада'!I228</f>
        <v>0</v>
      </c>
    </row>
    <row r="30" spans="3:5" ht="20.25" customHeight="1">
      <c r="C30" s="269"/>
      <c r="D30" s="247" t="s">
        <v>359</v>
      </c>
      <c r="E30" s="259">
        <f>SUM(E28:E29)</f>
        <v>0</v>
      </c>
    </row>
    <row r="31" spans="3:5" ht="20.25" customHeight="1">
      <c r="C31" s="262" t="s">
        <v>376</v>
      </c>
      <c r="D31" s="263"/>
      <c r="E31" s="264">
        <f>39000+45000+20000</f>
        <v>104000</v>
      </c>
    </row>
    <row r="32" spans="3:5" ht="20.25" customHeight="1">
      <c r="C32" t="s">
        <v>377</v>
      </c>
      <c r="E32" s="260">
        <f>1500*26</f>
        <v>39000</v>
      </c>
    </row>
    <row r="33" spans="4:5" ht="20.25" customHeight="1">
      <c r="D33" s="229" t="s">
        <v>361</v>
      </c>
      <c r="E33" s="261">
        <f>E6+E10+E14+E18+E22+E26+E30</f>
        <v>440129.8149149395</v>
      </c>
    </row>
    <row r="35" ht="12.75">
      <c r="C35" t="s">
        <v>371</v>
      </c>
    </row>
  </sheetData>
  <sheetProtection/>
  <mergeCells count="7">
    <mergeCell ref="C28:C30"/>
    <mergeCell ref="C16:C18"/>
    <mergeCell ref="C20:C22"/>
    <mergeCell ref="C24:C26"/>
    <mergeCell ref="C4:C6"/>
    <mergeCell ref="C8:C10"/>
    <mergeCell ref="C12:C14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38254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Microsoft Office User</cp:lastModifiedBy>
  <cp:lastPrinted>2017-03-03T15:24:37Z</cp:lastPrinted>
  <dcterms:created xsi:type="dcterms:W3CDTF">2006-07-03T10:55:41Z</dcterms:created>
  <dcterms:modified xsi:type="dcterms:W3CDTF">2019-12-14T11:46:32Z</dcterms:modified>
  <cp:category/>
  <cp:version/>
  <cp:contentType/>
  <cp:contentStatus/>
  <cp:revision>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Дата рег.">
    <vt:lpwstr>2007-03-20T00:00:00Z</vt:lpwstr>
  </property>
  <property fmtid="{D5CDD505-2E9C-101B-9397-08002B2CF9AE}" pid="3" name="Исполнитель">
    <vt:lpwstr>Нестеренко Н.И.</vt:lpwstr>
  </property>
  <property fmtid="{D5CDD505-2E9C-101B-9397-08002B2CF9AE}" pid="4" name="Оригинал">
    <vt:lpwstr>Нестеренко Н.И.</vt:lpwstr>
  </property>
</Properties>
</file>